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9"/>
  <workbookPr defaultThemeVersion="124226"/>
  <mc:AlternateContent xmlns:mc="http://schemas.openxmlformats.org/markup-compatibility/2006">
    <mc:Choice Requires="x15">
      <x15ac:absPath xmlns:x15ac="http://schemas.microsoft.com/office/spreadsheetml/2010/11/ac" url="D:\working\waccache\BL6PEPF00021D8F\EXCELCNV\286901bd-c813-4859-b31f-61a4013ab022\"/>
    </mc:Choice>
  </mc:AlternateContent>
  <xr:revisionPtr revIDLastSave="2" documentId="8_{97089FC9-7615-49FD-B303-96474E933875}" xr6:coauthVersionLast="47" xr6:coauthVersionMax="47" xr10:uidLastSave="{8841A7A4-FF42-4328-984E-E14ED4C90358}"/>
  <bookViews>
    <workbookView xWindow="-60" yWindow="-60" windowWidth="15480" windowHeight="11640" tabRatio="717" firstSheet="1" xr2:uid="{54E1CEF9-7264-4B80-A362-E65552A92828}"/>
  </bookViews>
  <sheets>
    <sheet name="Resumen" sheetId="1" r:id="rId1"/>
    <sheet name="1.CDP" sheetId="2" r:id="rId2"/>
    <sheet name="2.caseta de valvulas" sheetId="17" r:id="rId3"/>
    <sheet name="3.cisterna" sheetId="16" r:id="rId4"/>
    <sheet name="4.muro de contencion" sheetId="20" r:id="rId5"/>
    <sheet name="5.-obras varias" sheetId="21" r:id="rId6"/>
    <sheet name="6.acero" sheetId="5" r:id="rId7"/>
  </sheets>
  <externalReferences>
    <externalReference r:id="rId8"/>
  </externalReferences>
  <definedNames>
    <definedName name="_xlnm.Print_Area" localSheetId="1">'1.CDP'!$A$1:$L$86</definedName>
    <definedName name="_xlnm.Print_Area" localSheetId="2">'2.caseta de valvulas'!$A$1:$L$264</definedName>
    <definedName name="_xlnm.Print_Area" localSheetId="3">'3.cisterna'!$A$1:$L$61</definedName>
    <definedName name="_xlnm.Print_Area" localSheetId="4">'4.muro de contencion'!$A$1:$L$45</definedName>
    <definedName name="_xlnm.Print_Area" localSheetId="5">'5.-obras varias'!$A$1:$L$49</definedName>
    <definedName name="_xlnm.Print_Area" localSheetId="6">'6.acero'!$A$1:$O$170</definedName>
    <definedName name="_xlnm.Print_Area" localSheetId="0">Resumen!$A$1:$D$213</definedName>
    <definedName name="_xlnm.Print_Titles" localSheetId="1">'1.CDP'!$2:$7</definedName>
    <definedName name="_xlnm.Print_Titles" localSheetId="2">'2.caseta de valvulas'!$2:$7</definedName>
    <definedName name="_xlnm.Print_Titles" localSheetId="3">'3.cisterna'!$2:$7</definedName>
    <definedName name="_xlnm.Print_Titles" localSheetId="4">'4.muro de contencion'!$2:$7</definedName>
    <definedName name="_xlnm.Print_Titles" localSheetId="5">'5.-obras varias'!$2:$7</definedName>
    <definedName name="_xlnm.Print_Titles" localSheetId="6">'6.acero'!$2:$8</definedName>
    <definedName name="_xlnm.Print_Titles" localSheetId="0">Resumen!$1:$7</definedName>
    <definedName name="Z_01C7A449_7F3D_4ACE_B53B_FD81EEB055B7_.wvu.PrintArea" localSheetId="6" hidden="1">'6.acero'!$B$1:$N$64</definedName>
    <definedName name="Z_01C7A449_7F3D_4ACE_B53B_FD81EEB055B7_.wvu.PrintTitles" localSheetId="6" hidden="1">'6.acero'!$6:$7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1" i="1" l="1"/>
  <c r="K11" i="21"/>
  <c r="A8" i="1"/>
  <c r="B8" i="1"/>
  <c r="A9" i="2"/>
  <c r="A10" i="2"/>
  <c r="B210" i="1"/>
  <c r="B211" i="1"/>
  <c r="C211" i="1"/>
  <c r="B212" i="1"/>
  <c r="C212" i="1"/>
  <c r="B213" i="1"/>
  <c r="C213" i="1"/>
  <c r="B193" i="1"/>
  <c r="C193" i="1"/>
  <c r="D193" i="1"/>
  <c r="B194" i="1"/>
  <c r="C194" i="1"/>
  <c r="B195" i="1"/>
  <c r="C195" i="1"/>
  <c r="B196" i="1"/>
  <c r="C196" i="1"/>
  <c r="D196" i="1"/>
  <c r="B178" i="1"/>
  <c r="C178" i="1"/>
  <c r="B179" i="1"/>
  <c r="C179" i="1"/>
  <c r="B113" i="1"/>
  <c r="C113" i="1"/>
  <c r="B101" i="1"/>
  <c r="C101" i="1"/>
  <c r="B102" i="1"/>
  <c r="C102" i="1"/>
  <c r="B47" i="1"/>
  <c r="B48" i="1"/>
  <c r="C48" i="1"/>
  <c r="B49" i="1"/>
  <c r="C49" i="1"/>
  <c r="B50" i="1"/>
  <c r="C50" i="1"/>
  <c r="B51" i="1"/>
  <c r="B30" i="1"/>
  <c r="C30" i="1"/>
  <c r="B31" i="1"/>
  <c r="C31" i="1"/>
  <c r="G167" i="5"/>
  <c r="F167" i="5"/>
  <c r="G162" i="5"/>
  <c r="G154" i="5"/>
  <c r="G153" i="5"/>
  <c r="G151" i="5"/>
  <c r="G150" i="5"/>
  <c r="G146" i="5"/>
  <c r="G145" i="5"/>
  <c r="G135" i="5"/>
  <c r="H135" i="5"/>
  <c r="G134" i="5"/>
  <c r="H134" i="5"/>
  <c r="G131" i="5"/>
  <c r="N130" i="5"/>
  <c r="M130" i="5"/>
  <c r="L130" i="5"/>
  <c r="K130" i="5"/>
  <c r="J130" i="5"/>
  <c r="I130" i="5"/>
  <c r="H130" i="5"/>
  <c r="N135" i="5"/>
  <c r="M135" i="5"/>
  <c r="L135" i="5"/>
  <c r="K135" i="5"/>
  <c r="I135" i="5"/>
  <c r="N134" i="5"/>
  <c r="M134" i="5"/>
  <c r="L134" i="5"/>
  <c r="K134" i="5"/>
  <c r="I134" i="5"/>
  <c r="G128" i="5"/>
  <c r="G124" i="5"/>
  <c r="F122" i="5"/>
  <c r="G121" i="5"/>
  <c r="L121" i="5"/>
  <c r="G120" i="5"/>
  <c r="H120" i="5"/>
  <c r="N122" i="5"/>
  <c r="M122" i="5"/>
  <c r="L122" i="5"/>
  <c r="K122" i="5"/>
  <c r="I122" i="5"/>
  <c r="J122" i="5"/>
  <c r="N121" i="5"/>
  <c r="M121" i="5"/>
  <c r="K121" i="5"/>
  <c r="J121" i="5"/>
  <c r="I121" i="5"/>
  <c r="N120" i="5"/>
  <c r="M120" i="5"/>
  <c r="L120" i="5"/>
  <c r="J120" i="5"/>
  <c r="I120" i="5"/>
  <c r="F118" i="5"/>
  <c r="G116" i="5"/>
  <c r="G115" i="5"/>
  <c r="G112" i="5"/>
  <c r="G111" i="5"/>
  <c r="G106" i="5"/>
  <c r="G105" i="5"/>
  <c r="G101" i="5"/>
  <c r="K101" i="5"/>
  <c r="G100" i="5"/>
  <c r="H100" i="5"/>
  <c r="N102" i="5"/>
  <c r="M102" i="5"/>
  <c r="L102" i="5"/>
  <c r="J102" i="5"/>
  <c r="I102" i="5"/>
  <c r="G102" i="5"/>
  <c r="K102" i="5"/>
  <c r="O102" i="5"/>
  <c r="N101" i="5"/>
  <c r="M101" i="5"/>
  <c r="L101" i="5"/>
  <c r="J101" i="5"/>
  <c r="I101" i="5"/>
  <c r="O101" i="5" s="1"/>
  <c r="N100" i="5"/>
  <c r="M100" i="5"/>
  <c r="L100" i="5"/>
  <c r="J100" i="5"/>
  <c r="I100" i="5"/>
  <c r="G98" i="5"/>
  <c r="Q97" i="5"/>
  <c r="R97" i="5"/>
  <c r="N97" i="5"/>
  <c r="M97" i="5"/>
  <c r="K97" i="5"/>
  <c r="J97" i="5"/>
  <c r="I97" i="5"/>
  <c r="G97" i="5"/>
  <c r="L97" i="5"/>
  <c r="G96" i="5"/>
  <c r="G95" i="5"/>
  <c r="G93" i="5"/>
  <c r="G91" i="5"/>
  <c r="G90" i="5"/>
  <c r="G88" i="5"/>
  <c r="G86" i="5"/>
  <c r="G85" i="5"/>
  <c r="G81" i="5"/>
  <c r="G76" i="5"/>
  <c r="G80" i="5"/>
  <c r="G73" i="5"/>
  <c r="G71" i="5"/>
  <c r="R66" i="5"/>
  <c r="N69" i="5"/>
  <c r="M69" i="5"/>
  <c r="L69" i="5"/>
  <c r="K69" i="5"/>
  <c r="J69" i="5"/>
  <c r="I69" i="5"/>
  <c r="H69" i="5"/>
  <c r="N68" i="5"/>
  <c r="M68" i="5"/>
  <c r="L68" i="5"/>
  <c r="K68" i="5"/>
  <c r="J68" i="5"/>
  <c r="I68" i="5"/>
  <c r="H68" i="5"/>
  <c r="Q67" i="5"/>
  <c r="R67" i="5"/>
  <c r="N67" i="5"/>
  <c r="M67" i="5"/>
  <c r="L67" i="5"/>
  <c r="K67" i="5"/>
  <c r="J67" i="5"/>
  <c r="I67" i="5"/>
  <c r="H67" i="5"/>
  <c r="N66" i="5"/>
  <c r="M66" i="5"/>
  <c r="L66" i="5"/>
  <c r="K66" i="5"/>
  <c r="J66" i="5"/>
  <c r="I66" i="5"/>
  <c r="H66" i="5"/>
  <c r="R56" i="5"/>
  <c r="G55" i="5"/>
  <c r="K55" i="5"/>
  <c r="N55" i="5"/>
  <c r="M55" i="5"/>
  <c r="L55" i="5"/>
  <c r="J55" i="5"/>
  <c r="I55" i="5"/>
  <c r="O55" i="5" s="1"/>
  <c r="G53" i="5"/>
  <c r="N54" i="5"/>
  <c r="M54" i="5"/>
  <c r="L54" i="5"/>
  <c r="J54" i="5"/>
  <c r="I54" i="5"/>
  <c r="G54" i="5"/>
  <c r="K54" i="5"/>
  <c r="G52" i="5"/>
  <c r="N51" i="5"/>
  <c r="M51" i="5"/>
  <c r="L51" i="5"/>
  <c r="K51" i="5"/>
  <c r="J51" i="5"/>
  <c r="I51" i="5"/>
  <c r="H51" i="5"/>
  <c r="Q17" i="5"/>
  <c r="Q18" i="5"/>
  <c r="R32" i="5"/>
  <c r="G30" i="5"/>
  <c r="G27" i="5"/>
  <c r="G26" i="5"/>
  <c r="R16" i="5"/>
  <c r="S16" i="5"/>
  <c r="N22" i="5"/>
  <c r="M22" i="5"/>
  <c r="L22" i="5"/>
  <c r="K22" i="5"/>
  <c r="J22" i="5"/>
  <c r="I22" i="5"/>
  <c r="H22" i="5"/>
  <c r="N21" i="5"/>
  <c r="M21" i="5"/>
  <c r="L21" i="5"/>
  <c r="K21" i="5"/>
  <c r="J21" i="5"/>
  <c r="I21" i="5"/>
  <c r="H21" i="5"/>
  <c r="N20" i="5"/>
  <c r="M20" i="5"/>
  <c r="L20" i="5"/>
  <c r="K20" i="5"/>
  <c r="J20" i="5"/>
  <c r="I20" i="5"/>
  <c r="H20" i="5"/>
  <c r="N19" i="5"/>
  <c r="M19" i="5"/>
  <c r="L19" i="5"/>
  <c r="K19" i="5"/>
  <c r="J19" i="5"/>
  <c r="I19" i="5"/>
  <c r="H19" i="5"/>
  <c r="N18" i="5"/>
  <c r="M18" i="5"/>
  <c r="L18" i="5"/>
  <c r="K18" i="5"/>
  <c r="J18" i="5"/>
  <c r="I18" i="5"/>
  <c r="H18" i="5"/>
  <c r="N17" i="5"/>
  <c r="M17" i="5"/>
  <c r="L17" i="5"/>
  <c r="K17" i="5"/>
  <c r="J17" i="5"/>
  <c r="I17" i="5"/>
  <c r="H17" i="5"/>
  <c r="N16" i="5"/>
  <c r="M16" i="5"/>
  <c r="L16" i="5"/>
  <c r="K16" i="5"/>
  <c r="J16" i="5"/>
  <c r="I16" i="5"/>
  <c r="H16" i="5"/>
  <c r="B15" i="5"/>
  <c r="G14" i="5"/>
  <c r="G13" i="5"/>
  <c r="J44" i="2"/>
  <c r="K44" i="2"/>
  <c r="K43" i="2"/>
  <c r="L43" i="2"/>
  <c r="J134" i="5"/>
  <c r="O134" i="5"/>
  <c r="O130" i="5"/>
  <c r="J135" i="5"/>
  <c r="O135" i="5"/>
  <c r="R17" i="5"/>
  <c r="S17" i="5"/>
  <c r="H121" i="5"/>
  <c r="O121" i="5"/>
  <c r="H97" i="5"/>
  <c r="O122" i="5"/>
  <c r="H122" i="5"/>
  <c r="K120" i="5"/>
  <c r="O120" i="5"/>
  <c r="H101" i="5"/>
  <c r="H102" i="5"/>
  <c r="K100" i="5"/>
  <c r="O100" i="5"/>
  <c r="O97" i="5"/>
  <c r="O67" i="5"/>
  <c r="O66" i="5"/>
  <c r="O69" i="5"/>
  <c r="O68" i="5"/>
  <c r="Q68" i="5"/>
  <c r="R68" i="5"/>
  <c r="H55" i="5"/>
  <c r="O54" i="5"/>
  <c r="H54" i="5"/>
  <c r="O51" i="5"/>
  <c r="O17" i="5"/>
  <c r="O20" i="5"/>
  <c r="O16" i="5"/>
  <c r="O19" i="5"/>
  <c r="O21" i="5"/>
  <c r="O18" i="5"/>
  <c r="O22" i="5"/>
  <c r="O15" i="5" s="1"/>
  <c r="K50" i="2" s="1"/>
  <c r="K49" i="2" s="1"/>
  <c r="L49" i="2" s="1"/>
  <c r="D31" i="1" s="1"/>
  <c r="K44" i="21"/>
  <c r="K45" i="21"/>
  <c r="H43" i="21"/>
  <c r="Q69" i="5"/>
  <c r="R69" i="5"/>
  <c r="E40" i="21"/>
  <c r="H40" i="21"/>
  <c r="K38" i="21"/>
  <c r="H33" i="21"/>
  <c r="H35" i="21"/>
  <c r="H23" i="21"/>
  <c r="K21" i="21"/>
  <c r="K20" i="21"/>
  <c r="L20" i="21"/>
  <c r="K10" i="21"/>
  <c r="L10" i="21"/>
  <c r="G39" i="20"/>
  <c r="G40" i="20"/>
  <c r="I36" i="20"/>
  <c r="H45" i="16"/>
  <c r="I35" i="16"/>
  <c r="I36" i="16"/>
  <c r="K263" i="17"/>
  <c r="L263" i="17"/>
  <c r="K248" i="17"/>
  <c r="L248" i="17"/>
  <c r="H241" i="17"/>
  <c r="K241" i="17"/>
  <c r="L241" i="17"/>
  <c r="D123" i="1"/>
  <c r="H240" i="17"/>
  <c r="K240" i="17"/>
  <c r="L240" i="17"/>
  <c r="D122" i="1"/>
  <c r="K229" i="17"/>
  <c r="L229" i="17"/>
  <c r="D113" i="1"/>
  <c r="J223" i="17"/>
  <c r="K223" i="17"/>
  <c r="K222" i="17"/>
  <c r="L222" i="17"/>
  <c r="D110" i="1"/>
  <c r="K207" i="17"/>
  <c r="L207" i="17"/>
  <c r="D102" i="1"/>
  <c r="K205" i="17"/>
  <c r="L205" i="17"/>
  <c r="D101" i="1"/>
  <c r="K196" i="17"/>
  <c r="K195" i="17"/>
  <c r="L195" i="17"/>
  <c r="E192" i="17"/>
  <c r="E190" i="17"/>
  <c r="E189" i="17"/>
  <c r="E185" i="17"/>
  <c r="J180" i="17"/>
  <c r="K180" i="17"/>
  <c r="K179" i="17"/>
  <c r="L179" i="17"/>
  <c r="D90" i="1"/>
  <c r="H177" i="17"/>
  <c r="K177" i="17"/>
  <c r="I219" i="17"/>
  <c r="K219" i="17"/>
  <c r="E146" i="17"/>
  <c r="G146" i="17"/>
  <c r="E147" i="17"/>
  <c r="G147" i="17"/>
  <c r="E148" i="17"/>
  <c r="G148" i="17"/>
  <c r="H148" i="17"/>
  <c r="E149" i="17"/>
  <c r="G149" i="17"/>
  <c r="H149" i="17"/>
  <c r="E150" i="17"/>
  <c r="G150" i="17"/>
  <c r="H150" i="17"/>
  <c r="K150" i="17" s="1"/>
  <c r="E151" i="17"/>
  <c r="G151" i="17"/>
  <c r="H151" i="17"/>
  <c r="K151" i="17" s="1"/>
  <c r="C147" i="17"/>
  <c r="C148" i="17"/>
  <c r="C149" i="17"/>
  <c r="C150" i="17"/>
  <c r="C151" i="17"/>
  <c r="C146" i="17"/>
  <c r="G175" i="17"/>
  <c r="G185" i="17"/>
  <c r="H175" i="17"/>
  <c r="H185" i="17"/>
  <c r="C175" i="17"/>
  <c r="C185" i="17"/>
  <c r="G171" i="17"/>
  <c r="G190" i="17"/>
  <c r="H171" i="17"/>
  <c r="H190" i="17"/>
  <c r="G172" i="17"/>
  <c r="G192" i="17"/>
  <c r="H172" i="17"/>
  <c r="H192" i="17"/>
  <c r="C172" i="17"/>
  <c r="C192" i="17"/>
  <c r="C171" i="17"/>
  <c r="C190" i="17"/>
  <c r="H170" i="17"/>
  <c r="H189" i="17"/>
  <c r="G170" i="17"/>
  <c r="G189" i="17"/>
  <c r="C170" i="17"/>
  <c r="C189" i="17"/>
  <c r="C167" i="17"/>
  <c r="E167" i="17"/>
  <c r="H167" i="17"/>
  <c r="I167" i="17"/>
  <c r="C168" i="17"/>
  <c r="E168" i="17"/>
  <c r="H168" i="17"/>
  <c r="I168" i="17"/>
  <c r="F153" i="17"/>
  <c r="I153" i="17"/>
  <c r="F154" i="17"/>
  <c r="I154" i="17"/>
  <c r="F155" i="17"/>
  <c r="I155" i="17"/>
  <c r="F156" i="17"/>
  <c r="I156" i="17"/>
  <c r="F157" i="17"/>
  <c r="I157" i="17"/>
  <c r="C143" i="17"/>
  <c r="E143" i="17"/>
  <c r="G143" i="17"/>
  <c r="H143" i="17"/>
  <c r="C144" i="17"/>
  <c r="C156" i="17"/>
  <c r="E144" i="17"/>
  <c r="E156" i="17"/>
  <c r="G144" i="17"/>
  <c r="H144" i="17"/>
  <c r="H156" i="17"/>
  <c r="K156" i="17" s="1"/>
  <c r="C145" i="17"/>
  <c r="C157" i="17"/>
  <c r="E145" i="17"/>
  <c r="E157" i="17"/>
  <c r="G145" i="17"/>
  <c r="H145" i="17"/>
  <c r="K145" i="17" s="1"/>
  <c r="H157" i="17"/>
  <c r="E136" i="17"/>
  <c r="E153" i="17"/>
  <c r="G136" i="17"/>
  <c r="H136" i="17"/>
  <c r="H153" i="17"/>
  <c r="E137" i="17"/>
  <c r="E154" i="17"/>
  <c r="H137" i="17"/>
  <c r="H154" i="17"/>
  <c r="E138" i="17"/>
  <c r="G138" i="17"/>
  <c r="H138" i="17"/>
  <c r="E139" i="17"/>
  <c r="G139" i="17"/>
  <c r="H139" i="17"/>
  <c r="E140" i="17"/>
  <c r="E155" i="17"/>
  <c r="G140" i="17"/>
  <c r="G155" i="17"/>
  <c r="H140" i="17"/>
  <c r="H155" i="17"/>
  <c r="E141" i="17"/>
  <c r="F141" i="17"/>
  <c r="G141" i="17"/>
  <c r="H141" i="17"/>
  <c r="E142" i="17"/>
  <c r="F142" i="17"/>
  <c r="G142" i="17"/>
  <c r="H142" i="17"/>
  <c r="C137" i="17"/>
  <c r="C154" i="17"/>
  <c r="C138" i="17"/>
  <c r="C139" i="17"/>
  <c r="C140" i="17"/>
  <c r="C155" i="17"/>
  <c r="C141" i="17"/>
  <c r="C142" i="17"/>
  <c r="C136" i="17"/>
  <c r="C153" i="17"/>
  <c r="K88" i="17"/>
  <c r="K87" i="17"/>
  <c r="K86" i="17"/>
  <c r="G85" i="17"/>
  <c r="K85" i="17"/>
  <c r="K84" i="17"/>
  <c r="K77" i="17"/>
  <c r="K76" i="17"/>
  <c r="K75" i="17"/>
  <c r="K133" i="17"/>
  <c r="K132" i="17"/>
  <c r="K131" i="17"/>
  <c r="K130" i="17"/>
  <c r="H129" i="17"/>
  <c r="K129" i="17"/>
  <c r="H128" i="17"/>
  <c r="H146" i="17"/>
  <c r="K146" i="17"/>
  <c r="G120" i="17"/>
  <c r="H112" i="17"/>
  <c r="I111" i="17"/>
  <c r="H111" i="17"/>
  <c r="I110" i="17"/>
  <c r="H110" i="17"/>
  <c r="I109" i="17"/>
  <c r="H109" i="17"/>
  <c r="I108" i="17"/>
  <c r="H108" i="17"/>
  <c r="E111" i="17"/>
  <c r="K111" i="17"/>
  <c r="E112" i="17"/>
  <c r="E110" i="17"/>
  <c r="E109" i="17"/>
  <c r="K109" i="17"/>
  <c r="E108" i="17"/>
  <c r="K105" i="17"/>
  <c r="K90" i="17"/>
  <c r="K89" i="17"/>
  <c r="K91" i="17"/>
  <c r="K82" i="17"/>
  <c r="K81" i="17"/>
  <c r="K80" i="17"/>
  <c r="K79" i="17"/>
  <c r="K78" i="17"/>
  <c r="K73" i="17"/>
  <c r="K61" i="17"/>
  <c r="K48" i="17"/>
  <c r="K47" i="17"/>
  <c r="K52" i="17"/>
  <c r="G74" i="17"/>
  <c r="K74" i="17"/>
  <c r="G65" i="17"/>
  <c r="G66" i="17"/>
  <c r="H60" i="17"/>
  <c r="K60" i="17"/>
  <c r="H59" i="17"/>
  <c r="K59" i="17"/>
  <c r="H58" i="17"/>
  <c r="K58" i="17"/>
  <c r="H57" i="17"/>
  <c r="K57" i="17"/>
  <c r="K51" i="17"/>
  <c r="K50" i="17"/>
  <c r="K49" i="17"/>
  <c r="K46" i="17"/>
  <c r="K55" i="17"/>
  <c r="K54" i="17"/>
  <c r="K53" i="17"/>
  <c r="K45" i="17" s="1"/>
  <c r="L45" i="17" s="1"/>
  <c r="D62" i="1" s="1"/>
  <c r="K43" i="17"/>
  <c r="K42" i="17"/>
  <c r="K41" i="17"/>
  <c r="J24" i="17"/>
  <c r="J34" i="17"/>
  <c r="K13" i="17"/>
  <c r="K14" i="17"/>
  <c r="K12" i="17"/>
  <c r="L12" i="17"/>
  <c r="K11" i="17"/>
  <c r="K10" i="17"/>
  <c r="L10" i="17"/>
  <c r="D48" i="1"/>
  <c r="J21" i="17"/>
  <c r="B4" i="17"/>
  <c r="J82" i="2"/>
  <c r="J81" i="2"/>
  <c r="K81" i="2"/>
  <c r="G78" i="2"/>
  <c r="G58" i="2"/>
  <c r="K58" i="2"/>
  <c r="G56" i="2"/>
  <c r="G57" i="2"/>
  <c r="K57" i="2"/>
  <c r="K56" i="2"/>
  <c r="J75" i="2"/>
  <c r="K75" i="2" s="1"/>
  <c r="K70" i="2"/>
  <c r="K69" i="2"/>
  <c r="K68" i="2"/>
  <c r="J67" i="2"/>
  <c r="K67" i="2"/>
  <c r="K65" i="2"/>
  <c r="K64" i="2"/>
  <c r="K63" i="2"/>
  <c r="K62" i="2" s="1"/>
  <c r="L62" i="2" s="1"/>
  <c r="D35" i="1" s="1"/>
  <c r="K59" i="2"/>
  <c r="K40" i="2"/>
  <c r="K48" i="2"/>
  <c r="K47" i="2"/>
  <c r="L47" i="2"/>
  <c r="B18" i="1"/>
  <c r="C18" i="1"/>
  <c r="B19" i="1"/>
  <c r="C19" i="1"/>
  <c r="B16" i="1"/>
  <c r="C16" i="1"/>
  <c r="B17" i="1"/>
  <c r="B20" i="1"/>
  <c r="B11" i="1"/>
  <c r="C11" i="1"/>
  <c r="B12" i="1"/>
  <c r="C12" i="1"/>
  <c r="B13" i="1"/>
  <c r="C13" i="1"/>
  <c r="B14" i="1"/>
  <c r="C14" i="1"/>
  <c r="B15" i="1"/>
  <c r="C15" i="1"/>
  <c r="K27" i="2"/>
  <c r="L27" i="2"/>
  <c r="D19" i="1"/>
  <c r="K26" i="2"/>
  <c r="L26" i="2"/>
  <c r="D18" i="1"/>
  <c r="K22" i="2"/>
  <c r="K21" i="2"/>
  <c r="L21" i="2"/>
  <c r="D15" i="1"/>
  <c r="K20" i="2"/>
  <c r="K19" i="2"/>
  <c r="K18" i="2" s="1"/>
  <c r="L18" i="2" s="1"/>
  <c r="D14" i="1" s="1"/>
  <c r="K15" i="2"/>
  <c r="K14" i="2"/>
  <c r="K17" i="2"/>
  <c r="K16" i="2"/>
  <c r="L16" i="2"/>
  <c r="D13" i="1"/>
  <c r="K12" i="2"/>
  <c r="K11" i="2"/>
  <c r="L11" i="2"/>
  <c r="I169" i="5"/>
  <c r="J169" i="5"/>
  <c r="K169" i="5"/>
  <c r="L169" i="5"/>
  <c r="M169" i="5"/>
  <c r="N169" i="5"/>
  <c r="J156" i="5"/>
  <c r="K156" i="5"/>
  <c r="L156" i="5"/>
  <c r="M156" i="5"/>
  <c r="N156" i="5"/>
  <c r="I156" i="5"/>
  <c r="J140" i="5"/>
  <c r="K140" i="5"/>
  <c r="L140" i="5"/>
  <c r="M140" i="5"/>
  <c r="N140" i="5"/>
  <c r="I140" i="5"/>
  <c r="J43" i="5"/>
  <c r="K43" i="5"/>
  <c r="L43" i="5"/>
  <c r="M43" i="5"/>
  <c r="N43" i="5"/>
  <c r="I43" i="5"/>
  <c r="H167" i="5"/>
  <c r="H166" i="5"/>
  <c r="J165" i="5"/>
  <c r="H164" i="5"/>
  <c r="J162" i="5"/>
  <c r="J161" i="5"/>
  <c r="N167" i="5"/>
  <c r="M167" i="5"/>
  <c r="L167" i="5"/>
  <c r="K167" i="5"/>
  <c r="I167" i="5"/>
  <c r="N166" i="5"/>
  <c r="M166" i="5"/>
  <c r="L166" i="5"/>
  <c r="K166" i="5"/>
  <c r="I166" i="5"/>
  <c r="N165" i="5"/>
  <c r="M165" i="5"/>
  <c r="L165" i="5"/>
  <c r="K165" i="5"/>
  <c r="I165" i="5"/>
  <c r="N164" i="5"/>
  <c r="M164" i="5"/>
  <c r="L164" i="5"/>
  <c r="K164" i="5"/>
  <c r="I164" i="5"/>
  <c r="N162" i="5"/>
  <c r="M162" i="5"/>
  <c r="L162" i="5"/>
  <c r="K162" i="5"/>
  <c r="I162" i="5"/>
  <c r="N161" i="5"/>
  <c r="M161" i="5"/>
  <c r="L161" i="5"/>
  <c r="K161" i="5"/>
  <c r="I161" i="5"/>
  <c r="J154" i="5"/>
  <c r="J153" i="5"/>
  <c r="N154" i="5"/>
  <c r="M154" i="5"/>
  <c r="L154" i="5"/>
  <c r="K154" i="5"/>
  <c r="I154" i="5"/>
  <c r="N153" i="5"/>
  <c r="M153" i="5"/>
  <c r="L153" i="5"/>
  <c r="K153" i="5"/>
  <c r="I153" i="5"/>
  <c r="H153" i="5"/>
  <c r="J151" i="5"/>
  <c r="H150" i="5"/>
  <c r="G149" i="5"/>
  <c r="H149" i="5"/>
  <c r="G148" i="5"/>
  <c r="J148" i="5"/>
  <c r="J146" i="5"/>
  <c r="H145" i="5"/>
  <c r="J138" i="5"/>
  <c r="H132" i="5"/>
  <c r="N132" i="5"/>
  <c r="M132" i="5"/>
  <c r="L132" i="5"/>
  <c r="K132" i="5"/>
  <c r="I132" i="5"/>
  <c r="N131" i="5"/>
  <c r="M131" i="5"/>
  <c r="L131" i="5"/>
  <c r="K131" i="5"/>
  <c r="I131" i="5"/>
  <c r="H131" i="5"/>
  <c r="N98" i="5"/>
  <c r="M98" i="5"/>
  <c r="L98" i="5"/>
  <c r="J98" i="5"/>
  <c r="I98" i="5"/>
  <c r="H98" i="5"/>
  <c r="N96" i="5"/>
  <c r="M96" i="5"/>
  <c r="L96" i="5"/>
  <c r="J96" i="5"/>
  <c r="I96" i="5"/>
  <c r="H96" i="5"/>
  <c r="N95" i="5"/>
  <c r="M95" i="5"/>
  <c r="L95" i="5"/>
  <c r="J95" i="5"/>
  <c r="I95" i="5"/>
  <c r="H95" i="5"/>
  <c r="N93" i="5"/>
  <c r="M93" i="5"/>
  <c r="L93" i="5"/>
  <c r="J93" i="5"/>
  <c r="I93" i="5"/>
  <c r="Q92" i="5"/>
  <c r="R92" i="5"/>
  <c r="N92" i="5"/>
  <c r="M92" i="5"/>
  <c r="K92" i="5"/>
  <c r="J92" i="5"/>
  <c r="I92" i="5"/>
  <c r="G92" i="5"/>
  <c r="L92" i="5"/>
  <c r="N91" i="5"/>
  <c r="M91" i="5"/>
  <c r="L91" i="5"/>
  <c r="J91" i="5"/>
  <c r="I91" i="5"/>
  <c r="H91" i="5"/>
  <c r="N90" i="5"/>
  <c r="M90" i="5"/>
  <c r="L90" i="5"/>
  <c r="J90" i="5"/>
  <c r="I90" i="5"/>
  <c r="H90" i="5"/>
  <c r="N88" i="5"/>
  <c r="M88" i="5"/>
  <c r="L88" i="5"/>
  <c r="J88" i="5"/>
  <c r="I88" i="5"/>
  <c r="Q87" i="5"/>
  <c r="R87" i="5"/>
  <c r="N87" i="5"/>
  <c r="M87" i="5"/>
  <c r="K87" i="5"/>
  <c r="J87" i="5"/>
  <c r="I87" i="5"/>
  <c r="G87" i="5"/>
  <c r="L87" i="5"/>
  <c r="N86" i="5"/>
  <c r="M86" i="5"/>
  <c r="L86" i="5"/>
  <c r="J86" i="5"/>
  <c r="I86" i="5"/>
  <c r="H86" i="5"/>
  <c r="N85" i="5"/>
  <c r="M85" i="5"/>
  <c r="L85" i="5"/>
  <c r="J85" i="5"/>
  <c r="I85" i="5"/>
  <c r="H85" i="5"/>
  <c r="G83" i="5"/>
  <c r="G82" i="5"/>
  <c r="L82" i="5"/>
  <c r="N81" i="5"/>
  <c r="M81" i="5"/>
  <c r="L81" i="5"/>
  <c r="J81" i="5"/>
  <c r="I81" i="5"/>
  <c r="K81" i="5"/>
  <c r="H80" i="5"/>
  <c r="N125" i="5"/>
  <c r="M125" i="5"/>
  <c r="L125" i="5"/>
  <c r="K125" i="5"/>
  <c r="J125" i="5"/>
  <c r="I125" i="5"/>
  <c r="H125" i="5"/>
  <c r="N124" i="5"/>
  <c r="M124" i="5"/>
  <c r="L124" i="5"/>
  <c r="K124" i="5"/>
  <c r="I124" i="5"/>
  <c r="H124" i="5"/>
  <c r="N118" i="5"/>
  <c r="M118" i="5"/>
  <c r="L118" i="5"/>
  <c r="K118" i="5"/>
  <c r="I118" i="5"/>
  <c r="J118" i="5"/>
  <c r="N117" i="5"/>
  <c r="M117" i="5"/>
  <c r="L117" i="5"/>
  <c r="K117" i="5"/>
  <c r="J117" i="5"/>
  <c r="I117" i="5"/>
  <c r="H117" i="5"/>
  <c r="N116" i="5"/>
  <c r="M116" i="5"/>
  <c r="K116" i="5"/>
  <c r="J116" i="5"/>
  <c r="I116" i="5"/>
  <c r="L116" i="5"/>
  <c r="N115" i="5"/>
  <c r="M115" i="5"/>
  <c r="L115" i="5"/>
  <c r="J115" i="5"/>
  <c r="I115" i="5"/>
  <c r="H115" i="5"/>
  <c r="N113" i="5"/>
  <c r="M113" i="5"/>
  <c r="L113" i="5"/>
  <c r="K113" i="5"/>
  <c r="I113" i="5"/>
  <c r="H113" i="5"/>
  <c r="N112" i="5"/>
  <c r="M112" i="5"/>
  <c r="K112" i="5"/>
  <c r="J112" i="5"/>
  <c r="I112" i="5"/>
  <c r="L112" i="5"/>
  <c r="N111" i="5"/>
  <c r="M111" i="5"/>
  <c r="K111" i="5"/>
  <c r="J111" i="5"/>
  <c r="I111" i="5"/>
  <c r="L111" i="5"/>
  <c r="N109" i="5"/>
  <c r="M109" i="5"/>
  <c r="L109" i="5"/>
  <c r="K109" i="5"/>
  <c r="I109" i="5"/>
  <c r="J109" i="5"/>
  <c r="N108" i="5"/>
  <c r="M108" i="5"/>
  <c r="L108" i="5"/>
  <c r="K108" i="5"/>
  <c r="J108" i="5"/>
  <c r="I108" i="5"/>
  <c r="H108" i="5"/>
  <c r="Q107" i="5"/>
  <c r="R107" i="5"/>
  <c r="N107" i="5"/>
  <c r="M107" i="5"/>
  <c r="L107" i="5"/>
  <c r="K107" i="5"/>
  <c r="J107" i="5"/>
  <c r="I107" i="5"/>
  <c r="H107" i="5"/>
  <c r="N106" i="5"/>
  <c r="M106" i="5"/>
  <c r="K106" i="5"/>
  <c r="J106" i="5"/>
  <c r="I106" i="5"/>
  <c r="L106" i="5"/>
  <c r="N105" i="5"/>
  <c r="M105" i="5"/>
  <c r="K105" i="5"/>
  <c r="J105" i="5"/>
  <c r="I105" i="5"/>
  <c r="L105" i="5"/>
  <c r="Q82" i="5"/>
  <c r="R82" i="5"/>
  <c r="N82" i="5"/>
  <c r="M82" i="5"/>
  <c r="K82" i="5"/>
  <c r="J82" i="5"/>
  <c r="I82" i="5"/>
  <c r="N149" i="5"/>
  <c r="M149" i="5"/>
  <c r="L149" i="5"/>
  <c r="K149" i="5"/>
  <c r="I149" i="5"/>
  <c r="N148" i="5"/>
  <c r="M148" i="5"/>
  <c r="L148" i="5"/>
  <c r="K148" i="5"/>
  <c r="I148" i="5"/>
  <c r="N146" i="5"/>
  <c r="M146" i="5"/>
  <c r="L146" i="5"/>
  <c r="K146" i="5"/>
  <c r="I146" i="5"/>
  <c r="N145" i="5"/>
  <c r="M145" i="5"/>
  <c r="L145" i="5"/>
  <c r="K145" i="5"/>
  <c r="I145" i="5"/>
  <c r="N137" i="5"/>
  <c r="M137" i="5"/>
  <c r="L137" i="5"/>
  <c r="K137" i="5"/>
  <c r="J137" i="5"/>
  <c r="I137" i="5"/>
  <c r="H137" i="5"/>
  <c r="N83" i="5"/>
  <c r="M83" i="5"/>
  <c r="L83" i="5"/>
  <c r="J83" i="5"/>
  <c r="I83" i="5"/>
  <c r="N80" i="5"/>
  <c r="M80" i="5"/>
  <c r="K80" i="5"/>
  <c r="J80" i="5"/>
  <c r="I80" i="5"/>
  <c r="N77" i="5"/>
  <c r="M77" i="5"/>
  <c r="L77" i="5"/>
  <c r="K77" i="5"/>
  <c r="J77" i="5"/>
  <c r="I77" i="5"/>
  <c r="H77" i="5"/>
  <c r="N76" i="5"/>
  <c r="M76" i="5"/>
  <c r="L76" i="5"/>
  <c r="K76" i="5"/>
  <c r="I76" i="5"/>
  <c r="H76" i="5"/>
  <c r="N74" i="5"/>
  <c r="M74" i="5"/>
  <c r="L74" i="5"/>
  <c r="K74" i="5"/>
  <c r="J74" i="5"/>
  <c r="I74" i="5"/>
  <c r="H74" i="5"/>
  <c r="N73" i="5"/>
  <c r="M73" i="5"/>
  <c r="K73" i="5"/>
  <c r="J73" i="5"/>
  <c r="I73" i="5"/>
  <c r="L73" i="5"/>
  <c r="L71" i="5"/>
  <c r="K49" i="5"/>
  <c r="N50" i="5"/>
  <c r="M50" i="5"/>
  <c r="L50" i="5"/>
  <c r="K50" i="5"/>
  <c r="J50" i="5"/>
  <c r="I50" i="5"/>
  <c r="H50" i="5"/>
  <c r="N49" i="5"/>
  <c r="M49" i="5"/>
  <c r="L49" i="5"/>
  <c r="J49" i="5"/>
  <c r="I49" i="5"/>
  <c r="H49" i="5"/>
  <c r="Q57" i="5"/>
  <c r="N63" i="5"/>
  <c r="M63" i="5"/>
  <c r="L63" i="5"/>
  <c r="K63" i="5"/>
  <c r="J63" i="5"/>
  <c r="I63" i="5"/>
  <c r="H63" i="5"/>
  <c r="N62" i="5"/>
  <c r="M62" i="5"/>
  <c r="L62" i="5"/>
  <c r="K62" i="5"/>
  <c r="J62" i="5"/>
  <c r="I62" i="5"/>
  <c r="H62" i="5"/>
  <c r="N61" i="5"/>
  <c r="M61" i="5"/>
  <c r="L61" i="5"/>
  <c r="K61" i="5"/>
  <c r="J61" i="5"/>
  <c r="I61" i="5"/>
  <c r="H61" i="5"/>
  <c r="N60" i="5"/>
  <c r="M60" i="5"/>
  <c r="L60" i="5"/>
  <c r="K60" i="5"/>
  <c r="J60" i="5"/>
  <c r="I60" i="5"/>
  <c r="H60" i="5"/>
  <c r="N59" i="5"/>
  <c r="M59" i="5"/>
  <c r="L59" i="5"/>
  <c r="K59" i="5"/>
  <c r="J59" i="5"/>
  <c r="I59" i="5"/>
  <c r="H59" i="5"/>
  <c r="N58" i="5"/>
  <c r="M58" i="5"/>
  <c r="L58" i="5"/>
  <c r="K58" i="5"/>
  <c r="J58" i="5"/>
  <c r="I58" i="5"/>
  <c r="H58" i="5"/>
  <c r="N57" i="5"/>
  <c r="M57" i="5"/>
  <c r="L57" i="5"/>
  <c r="K57" i="5"/>
  <c r="J57" i="5"/>
  <c r="I57" i="5"/>
  <c r="H57" i="5"/>
  <c r="N56" i="5"/>
  <c r="M56" i="5"/>
  <c r="L56" i="5"/>
  <c r="K56" i="5"/>
  <c r="J56" i="5"/>
  <c r="I56" i="5"/>
  <c r="H56" i="5"/>
  <c r="Q13" i="5"/>
  <c r="Q14" i="5"/>
  <c r="R14" i="5"/>
  <c r="R12" i="5"/>
  <c r="K53" i="5"/>
  <c r="K52" i="5"/>
  <c r="H26" i="17"/>
  <c r="K26" i="17"/>
  <c r="N41" i="5"/>
  <c r="M41" i="5"/>
  <c r="L41" i="5"/>
  <c r="K41" i="5"/>
  <c r="J41" i="5"/>
  <c r="I41" i="5"/>
  <c r="H41" i="5"/>
  <c r="N40" i="5"/>
  <c r="M40" i="5"/>
  <c r="L40" i="5"/>
  <c r="K40" i="5"/>
  <c r="J40" i="5"/>
  <c r="I40" i="5"/>
  <c r="H40" i="5"/>
  <c r="N39" i="5"/>
  <c r="M39" i="5"/>
  <c r="L39" i="5"/>
  <c r="K39" i="5"/>
  <c r="J39" i="5"/>
  <c r="I39" i="5"/>
  <c r="H39" i="5"/>
  <c r="N38" i="5"/>
  <c r="M38" i="5"/>
  <c r="L38" i="5"/>
  <c r="K38" i="5"/>
  <c r="J38" i="5"/>
  <c r="I38" i="5"/>
  <c r="H38" i="5"/>
  <c r="N37" i="5"/>
  <c r="M37" i="5"/>
  <c r="L37" i="5"/>
  <c r="K37" i="5"/>
  <c r="J37" i="5"/>
  <c r="I37" i="5"/>
  <c r="H37" i="5"/>
  <c r="N36" i="5"/>
  <c r="M36" i="5"/>
  <c r="L36" i="5"/>
  <c r="K36" i="5"/>
  <c r="J36" i="5"/>
  <c r="I36" i="5"/>
  <c r="H36" i="5"/>
  <c r="N35" i="5"/>
  <c r="M35" i="5"/>
  <c r="L35" i="5"/>
  <c r="K35" i="5"/>
  <c r="J35" i="5"/>
  <c r="I35" i="5"/>
  <c r="H35" i="5"/>
  <c r="N34" i="5"/>
  <c r="M34" i="5"/>
  <c r="L34" i="5"/>
  <c r="K34" i="5"/>
  <c r="J34" i="5"/>
  <c r="I34" i="5"/>
  <c r="H34" i="5"/>
  <c r="Q33" i="5"/>
  <c r="R33" i="5"/>
  <c r="N33" i="5"/>
  <c r="M33" i="5"/>
  <c r="L33" i="5"/>
  <c r="K33" i="5"/>
  <c r="J33" i="5"/>
  <c r="I33" i="5"/>
  <c r="H33" i="5"/>
  <c r="N32" i="5"/>
  <c r="M32" i="5"/>
  <c r="L32" i="5"/>
  <c r="K32" i="5"/>
  <c r="J32" i="5"/>
  <c r="I32" i="5"/>
  <c r="H32" i="5"/>
  <c r="K30" i="5"/>
  <c r="K28" i="5"/>
  <c r="H26" i="5"/>
  <c r="K25" i="5"/>
  <c r="N14" i="5"/>
  <c r="M14" i="5"/>
  <c r="L14" i="5"/>
  <c r="K14" i="5"/>
  <c r="J14" i="5"/>
  <c r="I14" i="5"/>
  <c r="H14" i="5"/>
  <c r="N13" i="5"/>
  <c r="M13" i="5"/>
  <c r="L13" i="5"/>
  <c r="K13" i="5"/>
  <c r="J13" i="5"/>
  <c r="I13" i="5"/>
  <c r="H13" i="5"/>
  <c r="N12" i="5"/>
  <c r="M12" i="5"/>
  <c r="L12" i="5"/>
  <c r="K12" i="5"/>
  <c r="J12" i="5"/>
  <c r="I12" i="5"/>
  <c r="H12" i="5"/>
  <c r="A9" i="5"/>
  <c r="N151" i="5"/>
  <c r="M151" i="5"/>
  <c r="L151" i="5"/>
  <c r="K151" i="5"/>
  <c r="I151" i="5"/>
  <c r="H151" i="5"/>
  <c r="N150" i="5"/>
  <c r="M150" i="5"/>
  <c r="L150" i="5"/>
  <c r="K150" i="5"/>
  <c r="I150" i="5"/>
  <c r="N138" i="5"/>
  <c r="M138" i="5"/>
  <c r="L138" i="5"/>
  <c r="K138" i="5"/>
  <c r="I138" i="5"/>
  <c r="N129" i="5"/>
  <c r="M129" i="5"/>
  <c r="L129" i="5"/>
  <c r="K129" i="5"/>
  <c r="J129" i="5"/>
  <c r="I129" i="5"/>
  <c r="H129" i="5"/>
  <c r="N128" i="5"/>
  <c r="M128" i="5"/>
  <c r="L128" i="5"/>
  <c r="K128" i="5"/>
  <c r="J128" i="5"/>
  <c r="I128" i="5"/>
  <c r="H128" i="5"/>
  <c r="N72" i="5"/>
  <c r="M72" i="5"/>
  <c r="L72" i="5"/>
  <c r="K72" i="5"/>
  <c r="J72" i="5"/>
  <c r="I72" i="5"/>
  <c r="H72" i="5"/>
  <c r="N71" i="5"/>
  <c r="M71" i="5"/>
  <c r="K71" i="5"/>
  <c r="J71" i="5"/>
  <c r="I71" i="5"/>
  <c r="N65" i="5"/>
  <c r="M65" i="5"/>
  <c r="L65" i="5"/>
  <c r="K65" i="5"/>
  <c r="J65" i="5"/>
  <c r="I65" i="5"/>
  <c r="H65" i="5"/>
  <c r="N64" i="5"/>
  <c r="M64" i="5"/>
  <c r="L64" i="5"/>
  <c r="K64" i="5"/>
  <c r="J64" i="5"/>
  <c r="I64" i="5"/>
  <c r="H64" i="5"/>
  <c r="N53" i="5"/>
  <c r="M53" i="5"/>
  <c r="L53" i="5"/>
  <c r="J53" i="5"/>
  <c r="I53" i="5"/>
  <c r="H53" i="5"/>
  <c r="N52" i="5"/>
  <c r="M52" i="5"/>
  <c r="L52" i="5"/>
  <c r="J52" i="5"/>
  <c r="I52" i="5"/>
  <c r="N48" i="5"/>
  <c r="M48" i="5"/>
  <c r="L48" i="5"/>
  <c r="K48" i="5"/>
  <c r="J48" i="5"/>
  <c r="I48" i="5"/>
  <c r="H48" i="5"/>
  <c r="N30" i="5"/>
  <c r="M30" i="5"/>
  <c r="L30" i="5"/>
  <c r="J30" i="5"/>
  <c r="I30" i="5"/>
  <c r="N29" i="5"/>
  <c r="M29" i="5"/>
  <c r="L29" i="5"/>
  <c r="K29" i="5"/>
  <c r="J29" i="5"/>
  <c r="I29" i="5"/>
  <c r="H29" i="5"/>
  <c r="N28" i="5"/>
  <c r="M28" i="5"/>
  <c r="L28" i="5"/>
  <c r="J28" i="5"/>
  <c r="I28" i="5"/>
  <c r="H28" i="5"/>
  <c r="N27" i="5"/>
  <c r="M27" i="5"/>
  <c r="L27" i="5"/>
  <c r="K27" i="5"/>
  <c r="J27" i="5"/>
  <c r="I27" i="5"/>
  <c r="H27" i="5"/>
  <c r="N26" i="5"/>
  <c r="M26" i="5"/>
  <c r="L26" i="5"/>
  <c r="J26" i="5"/>
  <c r="I26" i="5"/>
  <c r="N25" i="5"/>
  <c r="M25" i="5"/>
  <c r="L25" i="5"/>
  <c r="J25" i="5"/>
  <c r="I25" i="5"/>
  <c r="N24" i="5"/>
  <c r="M24" i="5"/>
  <c r="L24" i="5"/>
  <c r="K24" i="5"/>
  <c r="J24" i="5"/>
  <c r="I24" i="5"/>
  <c r="H24" i="5"/>
  <c r="B163" i="5"/>
  <c r="B160" i="5"/>
  <c r="B159" i="5"/>
  <c r="B158" i="5"/>
  <c r="B152" i="5"/>
  <c r="B147" i="5"/>
  <c r="B144" i="5"/>
  <c r="B143" i="5"/>
  <c r="B142" i="5"/>
  <c r="B136" i="5"/>
  <c r="B126" i="5"/>
  <c r="B103" i="5"/>
  <c r="B78" i="5"/>
  <c r="B70" i="5"/>
  <c r="B47" i="5"/>
  <c r="B46" i="5"/>
  <c r="B45" i="5"/>
  <c r="B31" i="5"/>
  <c r="B23" i="5"/>
  <c r="B77" i="1"/>
  <c r="C77" i="1"/>
  <c r="B78" i="1"/>
  <c r="C78" i="1"/>
  <c r="B79" i="1"/>
  <c r="C79" i="1"/>
  <c r="B80" i="1"/>
  <c r="I121" i="17"/>
  <c r="H121" i="17"/>
  <c r="H120" i="17"/>
  <c r="K118" i="17"/>
  <c r="K117" i="17"/>
  <c r="K116" i="17"/>
  <c r="K123" i="17"/>
  <c r="P117" i="17"/>
  <c r="B197" i="1"/>
  <c r="C197" i="1"/>
  <c r="B198" i="1"/>
  <c r="C198" i="1"/>
  <c r="B199" i="1"/>
  <c r="B200" i="1"/>
  <c r="C200" i="1"/>
  <c r="B201" i="1"/>
  <c r="C201" i="1"/>
  <c r="B202" i="1"/>
  <c r="C202" i="1"/>
  <c r="B203" i="1"/>
  <c r="C203" i="1"/>
  <c r="B204" i="1"/>
  <c r="B205" i="1"/>
  <c r="C205" i="1"/>
  <c r="B206" i="1"/>
  <c r="C206" i="1"/>
  <c r="B207" i="1"/>
  <c r="C207" i="1"/>
  <c r="B208" i="1"/>
  <c r="C208" i="1"/>
  <c r="B209" i="1"/>
  <c r="C209" i="1"/>
  <c r="B192" i="1"/>
  <c r="B172" i="1"/>
  <c r="B173" i="1"/>
  <c r="C173" i="1"/>
  <c r="B174" i="1"/>
  <c r="C174" i="1"/>
  <c r="B175" i="1"/>
  <c r="B176" i="1"/>
  <c r="C176" i="1"/>
  <c r="B177" i="1"/>
  <c r="C177" i="1"/>
  <c r="B180" i="1"/>
  <c r="C180" i="1"/>
  <c r="B181" i="1"/>
  <c r="B182" i="1"/>
  <c r="C182" i="1"/>
  <c r="B183" i="1"/>
  <c r="B184" i="1"/>
  <c r="C184" i="1"/>
  <c r="B185" i="1"/>
  <c r="C185" i="1"/>
  <c r="B186" i="1"/>
  <c r="C186" i="1"/>
  <c r="B187" i="1"/>
  <c r="C187" i="1"/>
  <c r="B188" i="1"/>
  <c r="C188" i="1"/>
  <c r="B189" i="1"/>
  <c r="C189" i="1"/>
  <c r="B190" i="1"/>
  <c r="B191" i="1"/>
  <c r="C191" i="1"/>
  <c r="B171" i="1"/>
  <c r="B164" i="1"/>
  <c r="C164" i="1"/>
  <c r="B165" i="1"/>
  <c r="B166" i="1"/>
  <c r="C166" i="1"/>
  <c r="B167" i="1"/>
  <c r="C167" i="1"/>
  <c r="B168" i="1"/>
  <c r="C168" i="1"/>
  <c r="B169" i="1"/>
  <c r="C169" i="1"/>
  <c r="B170" i="1"/>
  <c r="C170" i="1"/>
  <c r="B146" i="1"/>
  <c r="B147" i="1"/>
  <c r="C147" i="1"/>
  <c r="B148" i="1"/>
  <c r="C148" i="1"/>
  <c r="B149" i="1"/>
  <c r="B150" i="1"/>
  <c r="C150" i="1"/>
  <c r="B151" i="1"/>
  <c r="C151" i="1"/>
  <c r="B152" i="1"/>
  <c r="C152" i="1"/>
  <c r="B153" i="1"/>
  <c r="B154" i="1"/>
  <c r="C154" i="1"/>
  <c r="B155" i="1"/>
  <c r="B156" i="1"/>
  <c r="C156" i="1"/>
  <c r="B157" i="1"/>
  <c r="C157" i="1"/>
  <c r="B158" i="1"/>
  <c r="C158" i="1"/>
  <c r="B159" i="1"/>
  <c r="C159" i="1"/>
  <c r="B160" i="1"/>
  <c r="C160" i="1"/>
  <c r="B161" i="1"/>
  <c r="C161" i="1"/>
  <c r="B162" i="1"/>
  <c r="C162" i="1"/>
  <c r="B163" i="1"/>
  <c r="C163" i="1"/>
  <c r="B145" i="1"/>
  <c r="B94" i="1"/>
  <c r="C94" i="1"/>
  <c r="B95" i="1"/>
  <c r="C95" i="1"/>
  <c r="B96" i="1"/>
  <c r="C96" i="1"/>
  <c r="B97" i="1"/>
  <c r="C97" i="1"/>
  <c r="B98" i="1"/>
  <c r="C98" i="1"/>
  <c r="B99" i="1"/>
  <c r="C99" i="1"/>
  <c r="B100" i="1"/>
  <c r="C100" i="1"/>
  <c r="B103" i="1"/>
  <c r="B104" i="1"/>
  <c r="C104" i="1"/>
  <c r="B105" i="1"/>
  <c r="C105" i="1"/>
  <c r="B106" i="1"/>
  <c r="C106" i="1"/>
  <c r="B107" i="1"/>
  <c r="C107" i="1"/>
  <c r="B108" i="1"/>
  <c r="C108" i="1"/>
  <c r="B109" i="1"/>
  <c r="B110" i="1"/>
  <c r="C110" i="1"/>
  <c r="B111" i="1"/>
  <c r="C111" i="1"/>
  <c r="B112" i="1"/>
  <c r="B114" i="1"/>
  <c r="C114" i="1"/>
  <c r="B115" i="1"/>
  <c r="C115" i="1"/>
  <c r="B116" i="1"/>
  <c r="C116" i="1"/>
  <c r="B117" i="1"/>
  <c r="C117" i="1"/>
  <c r="B118" i="1"/>
  <c r="B119" i="1"/>
  <c r="C119" i="1"/>
  <c r="B120" i="1"/>
  <c r="C120" i="1"/>
  <c r="B121" i="1"/>
  <c r="C121" i="1"/>
  <c r="B122" i="1"/>
  <c r="C122" i="1"/>
  <c r="B123" i="1"/>
  <c r="C123" i="1"/>
  <c r="B124" i="1"/>
  <c r="C124" i="1"/>
  <c r="B125" i="1"/>
  <c r="C125" i="1"/>
  <c r="B126" i="1"/>
  <c r="C126" i="1"/>
  <c r="B127" i="1"/>
  <c r="C127" i="1"/>
  <c r="B128" i="1"/>
  <c r="C128" i="1"/>
  <c r="B129" i="1"/>
  <c r="C129" i="1"/>
  <c r="B130" i="1"/>
  <c r="C130" i="1"/>
  <c r="B131" i="1"/>
  <c r="C131" i="1"/>
  <c r="B132" i="1"/>
  <c r="C132" i="1"/>
  <c r="B133" i="1"/>
  <c r="C133" i="1"/>
  <c r="B134" i="1"/>
  <c r="C134" i="1"/>
  <c r="B135" i="1"/>
  <c r="C135" i="1"/>
  <c r="B136" i="1"/>
  <c r="C136" i="1"/>
  <c r="B137" i="1"/>
  <c r="C137" i="1"/>
  <c r="B138" i="1"/>
  <c r="B139" i="1"/>
  <c r="C139" i="1"/>
  <c r="B140" i="1"/>
  <c r="C140" i="1"/>
  <c r="B141" i="1"/>
  <c r="C141" i="1"/>
  <c r="B142" i="1"/>
  <c r="C142" i="1"/>
  <c r="B143" i="1"/>
  <c r="C143" i="1"/>
  <c r="B144" i="1"/>
  <c r="C144" i="1"/>
  <c r="B93" i="1"/>
  <c r="C93" i="1"/>
  <c r="B52" i="1"/>
  <c r="C52" i="1"/>
  <c r="B53" i="1"/>
  <c r="C53" i="1"/>
  <c r="B54" i="1"/>
  <c r="B55" i="1"/>
  <c r="C55" i="1"/>
  <c r="B56" i="1"/>
  <c r="C56" i="1"/>
  <c r="B57" i="1"/>
  <c r="C57" i="1"/>
  <c r="B58" i="1"/>
  <c r="C58" i="1"/>
  <c r="B59" i="1"/>
  <c r="B60" i="1"/>
  <c r="C60" i="1"/>
  <c r="B61" i="1"/>
  <c r="B62" i="1"/>
  <c r="C62" i="1"/>
  <c r="B63" i="1"/>
  <c r="C63" i="1"/>
  <c r="B64" i="1"/>
  <c r="C64" i="1"/>
  <c r="B65" i="1"/>
  <c r="C65" i="1"/>
  <c r="B66" i="1"/>
  <c r="C66" i="1"/>
  <c r="B67" i="1"/>
  <c r="C67" i="1"/>
  <c r="B68" i="1"/>
  <c r="C68" i="1"/>
  <c r="B69" i="1"/>
  <c r="C69" i="1"/>
  <c r="B70" i="1"/>
  <c r="C70" i="1"/>
  <c r="B71" i="1"/>
  <c r="C71" i="1"/>
  <c r="B72" i="1"/>
  <c r="C72" i="1"/>
  <c r="B73" i="1"/>
  <c r="C73" i="1"/>
  <c r="B74" i="1"/>
  <c r="C74" i="1"/>
  <c r="B75" i="1"/>
  <c r="C75" i="1"/>
  <c r="B76" i="1"/>
  <c r="C76" i="1"/>
  <c r="B81" i="1"/>
  <c r="C81" i="1"/>
  <c r="B82" i="1"/>
  <c r="B83" i="1"/>
  <c r="C83" i="1"/>
  <c r="B84" i="1"/>
  <c r="C84" i="1"/>
  <c r="B85" i="1"/>
  <c r="C85" i="1"/>
  <c r="B86" i="1"/>
  <c r="C86" i="1"/>
  <c r="B87" i="1"/>
  <c r="C87" i="1"/>
  <c r="B88" i="1"/>
  <c r="C88" i="1"/>
  <c r="B89" i="1"/>
  <c r="C89" i="1"/>
  <c r="B90" i="1"/>
  <c r="C90" i="1"/>
  <c r="B91" i="1"/>
  <c r="B92" i="1"/>
  <c r="C92" i="1"/>
  <c r="B46" i="1"/>
  <c r="B10" i="1"/>
  <c r="B21" i="1"/>
  <c r="C21" i="1"/>
  <c r="B22" i="1"/>
  <c r="C22" i="1"/>
  <c r="B23" i="1"/>
  <c r="C23" i="1"/>
  <c r="B24" i="1"/>
  <c r="B25" i="1"/>
  <c r="C25" i="1"/>
  <c r="B26" i="1"/>
  <c r="B27" i="1"/>
  <c r="C27" i="1"/>
  <c r="B28" i="1"/>
  <c r="C28" i="1"/>
  <c r="B29" i="1"/>
  <c r="C29" i="1"/>
  <c r="B32" i="1"/>
  <c r="C32" i="1"/>
  <c r="B33" i="1"/>
  <c r="C33" i="1"/>
  <c r="B34" i="1"/>
  <c r="C34" i="1"/>
  <c r="B35" i="1"/>
  <c r="C35" i="1"/>
  <c r="B36" i="1"/>
  <c r="C36" i="1"/>
  <c r="B37" i="1"/>
  <c r="C37" i="1"/>
  <c r="B38" i="1"/>
  <c r="B39" i="1"/>
  <c r="C39" i="1"/>
  <c r="B40" i="1"/>
  <c r="C40" i="1"/>
  <c r="B41" i="1"/>
  <c r="C41" i="1"/>
  <c r="B42" i="1"/>
  <c r="B43" i="1"/>
  <c r="C43" i="1"/>
  <c r="B44" i="1"/>
  <c r="C44" i="1"/>
  <c r="B45" i="1"/>
  <c r="C45" i="1"/>
  <c r="K47" i="21"/>
  <c r="K46" i="21"/>
  <c r="L46" i="21"/>
  <c r="D212" i="1"/>
  <c r="G35" i="21"/>
  <c r="K35" i="21"/>
  <c r="I18" i="21"/>
  <c r="H18" i="21"/>
  <c r="K18" i="21" s="1"/>
  <c r="K17" i="21" s="1"/>
  <c r="L17" i="21" s="1"/>
  <c r="D198" i="1" s="1"/>
  <c r="K16" i="21"/>
  <c r="K15" i="21"/>
  <c r="L15" i="21"/>
  <c r="D197" i="1"/>
  <c r="B3" i="21"/>
  <c r="B2" i="21"/>
  <c r="I18" i="20"/>
  <c r="H16" i="20"/>
  <c r="H18" i="20"/>
  <c r="H27" i="20"/>
  <c r="H30" i="20"/>
  <c r="H36" i="20"/>
  <c r="K36" i="20"/>
  <c r="I13" i="20"/>
  <c r="H13" i="20"/>
  <c r="K11" i="20"/>
  <c r="K10" i="20"/>
  <c r="L10" i="20"/>
  <c r="D173" i="1"/>
  <c r="B2" i="20"/>
  <c r="H53" i="16"/>
  <c r="G51" i="16"/>
  <c r="K45" i="16"/>
  <c r="K197" i="17"/>
  <c r="L197" i="17"/>
  <c r="D97" i="1"/>
  <c r="K199" i="17"/>
  <c r="L199" i="17"/>
  <c r="D98" i="1"/>
  <c r="K201" i="17"/>
  <c r="L201" i="17"/>
  <c r="D99" i="1"/>
  <c r="K203" i="17"/>
  <c r="L203" i="17"/>
  <c r="D100" i="1"/>
  <c r="K264" i="17"/>
  <c r="L264" i="17"/>
  <c r="D144" i="1"/>
  <c r="K262" i="17"/>
  <c r="L262" i="17"/>
  <c r="D143" i="1"/>
  <c r="K261" i="17"/>
  <c r="L261" i="17"/>
  <c r="D142" i="1"/>
  <c r="K260" i="17"/>
  <c r="L260" i="17"/>
  <c r="D141" i="1"/>
  <c r="K259" i="17"/>
  <c r="L259" i="17"/>
  <c r="D140" i="1"/>
  <c r="K258" i="17"/>
  <c r="L258" i="17"/>
  <c r="D139" i="1"/>
  <c r="E255" i="17"/>
  <c r="K255" i="17"/>
  <c r="L255" i="17"/>
  <c r="D136" i="1"/>
  <c r="E256" i="17"/>
  <c r="K256" i="17"/>
  <c r="L256" i="17"/>
  <c r="D137" i="1"/>
  <c r="K253" i="17"/>
  <c r="L253" i="17"/>
  <c r="D134" i="1"/>
  <c r="K245" i="17"/>
  <c r="L245" i="17"/>
  <c r="D127" i="1"/>
  <c r="K238" i="17"/>
  <c r="L238" i="17"/>
  <c r="D120" i="1"/>
  <c r="K237" i="17"/>
  <c r="L237" i="17"/>
  <c r="D119" i="1"/>
  <c r="K254" i="17"/>
  <c r="L254" i="17"/>
  <c r="D135" i="1"/>
  <c r="K252" i="17"/>
  <c r="L252" i="17"/>
  <c r="D133" i="1"/>
  <c r="K251" i="17"/>
  <c r="L251" i="17"/>
  <c r="D132" i="1"/>
  <c r="K250" i="17"/>
  <c r="L250" i="17"/>
  <c r="D131" i="1"/>
  <c r="K249" i="17"/>
  <c r="L249" i="17"/>
  <c r="D130" i="1"/>
  <c r="K239" i="17"/>
  <c r="L239" i="17"/>
  <c r="D121" i="1"/>
  <c r="K247" i="17"/>
  <c r="L247" i="17"/>
  <c r="D129" i="1"/>
  <c r="K246" i="17"/>
  <c r="L246" i="17"/>
  <c r="D128" i="1"/>
  <c r="K244" i="17"/>
  <c r="L244" i="17"/>
  <c r="D126" i="1"/>
  <c r="K243" i="17"/>
  <c r="L243" i="17"/>
  <c r="D125" i="1"/>
  <c r="K242" i="17"/>
  <c r="L242" i="17"/>
  <c r="D124" i="1"/>
  <c r="K230" i="17"/>
  <c r="L230" i="17"/>
  <c r="D114" i="1"/>
  <c r="K231" i="17"/>
  <c r="L231" i="17"/>
  <c r="D115" i="1"/>
  <c r="K226" i="17"/>
  <c r="E173" i="17"/>
  <c r="E183" i="17"/>
  <c r="G173" i="17"/>
  <c r="G183" i="17"/>
  <c r="H173" i="17"/>
  <c r="H183" i="17"/>
  <c r="E174" i="17"/>
  <c r="E184" i="17"/>
  <c r="G174" i="17"/>
  <c r="G184" i="17"/>
  <c r="H174" i="17"/>
  <c r="H184" i="17"/>
  <c r="K184" i="17" s="1"/>
  <c r="C174" i="17"/>
  <c r="C184" i="17"/>
  <c r="C173" i="17"/>
  <c r="C183" i="17"/>
  <c r="H165" i="17"/>
  <c r="I165" i="17"/>
  <c r="H166" i="17"/>
  <c r="I166" i="17"/>
  <c r="E166" i="17"/>
  <c r="K166" i="17" s="1"/>
  <c r="E165" i="17"/>
  <c r="C166" i="17"/>
  <c r="C165" i="17"/>
  <c r="C163" i="17"/>
  <c r="C162" i="17"/>
  <c r="G68" i="17"/>
  <c r="G159" i="17"/>
  <c r="I159" i="17"/>
  <c r="K159" i="17" s="1"/>
  <c r="I160" i="17"/>
  <c r="C160" i="17"/>
  <c r="K128" i="17"/>
  <c r="K103" i="17"/>
  <c r="J99" i="17"/>
  <c r="J163" i="17"/>
  <c r="J98" i="17"/>
  <c r="J162" i="17"/>
  <c r="H99" i="17"/>
  <c r="H163" i="17"/>
  <c r="H98" i="17"/>
  <c r="H162" i="17"/>
  <c r="E99" i="17"/>
  <c r="E163" i="17"/>
  <c r="E98" i="17"/>
  <c r="E162" i="17"/>
  <c r="K96" i="17"/>
  <c r="K95" i="17"/>
  <c r="K94" i="17"/>
  <c r="L94" i="17"/>
  <c r="D71" i="1"/>
  <c r="H69" i="17"/>
  <c r="H68" i="17"/>
  <c r="K65" i="17"/>
  <c r="G34" i="17"/>
  <c r="J30" i="17"/>
  <c r="K31" i="17"/>
  <c r="K32" i="17"/>
  <c r="K28" i="17"/>
  <c r="K21" i="17"/>
  <c r="K20" i="17"/>
  <c r="L20" i="17"/>
  <c r="D53" i="1"/>
  <c r="K85" i="2"/>
  <c r="L85" i="2"/>
  <c r="D44" i="1"/>
  <c r="J80" i="2"/>
  <c r="K80" i="2"/>
  <c r="K54" i="2"/>
  <c r="K37" i="2"/>
  <c r="K36" i="2"/>
  <c r="L36" i="2"/>
  <c r="D25" i="1"/>
  <c r="K52" i="2"/>
  <c r="K74" i="2"/>
  <c r="L74" i="2"/>
  <c r="D39" i="1"/>
  <c r="B2" i="2"/>
  <c r="B2" i="5"/>
  <c r="K234" i="17"/>
  <c r="K235" i="17"/>
  <c r="K42" i="2"/>
  <c r="K41" i="2"/>
  <c r="L41" i="2"/>
  <c r="D28" i="1"/>
  <c r="K77" i="2"/>
  <c r="K53" i="2"/>
  <c r="K51" i="2"/>
  <c r="L51" i="2"/>
  <c r="D32" i="1"/>
  <c r="K172" i="17"/>
  <c r="H30" i="17"/>
  <c r="H34" i="17"/>
  <c r="K34" i="17"/>
  <c r="K33" i="17"/>
  <c r="L33" i="17"/>
  <c r="K112" i="17"/>
  <c r="K104" i="17"/>
  <c r="P104" i="17"/>
  <c r="K227" i="17"/>
  <c r="K194" i="17"/>
  <c r="K193" i="17"/>
  <c r="L193" i="17"/>
  <c r="D96" i="1"/>
  <c r="K25" i="17"/>
  <c r="K27" i="17"/>
  <c r="K19" i="17"/>
  <c r="K18" i="17"/>
  <c r="L18" i="17"/>
  <c r="D52" i="1"/>
  <c r="B2" i="17"/>
  <c r="K59" i="16"/>
  <c r="K58" i="16"/>
  <c r="L58" i="16"/>
  <c r="D169" i="1"/>
  <c r="K53" i="16"/>
  <c r="K41" i="16"/>
  <c r="K36" i="16"/>
  <c r="K35" i="16"/>
  <c r="I16" i="16"/>
  <c r="I18" i="16"/>
  <c r="I23" i="16"/>
  <c r="I26" i="16"/>
  <c r="H16" i="16"/>
  <c r="K16" i="16"/>
  <c r="K15" i="16"/>
  <c r="L15" i="16"/>
  <c r="I13" i="16"/>
  <c r="H13" i="16"/>
  <c r="K13" i="16" s="1"/>
  <c r="K11" i="16"/>
  <c r="K10" i="16"/>
  <c r="L10" i="16"/>
  <c r="D147" i="1"/>
  <c r="B2" i="16"/>
  <c r="K82" i="2"/>
  <c r="K79" i="2" s="1"/>
  <c r="L79" i="2" s="1"/>
  <c r="D41" i="1" s="1"/>
  <c r="K78" i="2"/>
  <c r="I32" i="2"/>
  <c r="H32" i="2"/>
  <c r="K32" i="2" s="1"/>
  <c r="K31" i="2" s="1"/>
  <c r="L31" i="2" s="1"/>
  <c r="D22" i="1" s="1"/>
  <c r="B10" i="5"/>
  <c r="B11" i="5"/>
  <c r="B9" i="5"/>
  <c r="K84" i="2"/>
  <c r="L84" i="2"/>
  <c r="D43" i="1"/>
  <c r="A2" i="5"/>
  <c r="B9" i="1"/>
  <c r="K170" i="17"/>
  <c r="K16" i="20"/>
  <c r="K15" i="20"/>
  <c r="L15" i="20"/>
  <c r="K106" i="17"/>
  <c r="K23" i="21"/>
  <c r="K22" i="21"/>
  <c r="L22" i="21"/>
  <c r="D201" i="1"/>
  <c r="K25" i="21"/>
  <c r="K24" i="21"/>
  <c r="L24" i="21"/>
  <c r="Q34" i="5"/>
  <c r="R34" i="5"/>
  <c r="H148" i="5"/>
  <c r="J166" i="5"/>
  <c r="H30" i="5"/>
  <c r="H25" i="5"/>
  <c r="H52" i="5"/>
  <c r="H82" i="5"/>
  <c r="H92" i="5"/>
  <c r="J145" i="5"/>
  <c r="K95" i="5"/>
  <c r="K90" i="5"/>
  <c r="K91" i="5"/>
  <c r="H87" i="5"/>
  <c r="K85" i="5"/>
  <c r="H105" i="5"/>
  <c r="L80" i="5"/>
  <c r="H118" i="5"/>
  <c r="H116" i="5"/>
  <c r="J113" i="5"/>
  <c r="H106" i="5"/>
  <c r="H111" i="5"/>
  <c r="K115" i="5"/>
  <c r="J150" i="5"/>
  <c r="K96" i="5"/>
  <c r="K93" i="5"/>
  <c r="K26" i="5"/>
  <c r="J124" i="5"/>
  <c r="H161" i="5"/>
  <c r="H71" i="5"/>
  <c r="K39" i="2"/>
  <c r="L39" i="2"/>
  <c r="D27" i="1"/>
  <c r="K13" i="2"/>
  <c r="L13" i="2"/>
  <c r="D12" i="1"/>
  <c r="K76" i="2"/>
  <c r="L76" i="2"/>
  <c r="D40" i="1"/>
  <c r="K30" i="2"/>
  <c r="K29" i="2"/>
  <c r="L29" i="2"/>
  <c r="K66" i="2"/>
  <c r="L66" i="2"/>
  <c r="D36" i="1"/>
  <c r="H178" i="17"/>
  <c r="K178" i="17"/>
  <c r="K149" i="17"/>
  <c r="K148" i="17"/>
  <c r="H147" i="17"/>
  <c r="K168" i="17"/>
  <c r="L233" i="17"/>
  <c r="D117" i="1"/>
  <c r="K24" i="17"/>
  <c r="K120" i="17"/>
  <c r="G157" i="17"/>
  <c r="G137" i="17"/>
  <c r="K144" i="17"/>
  <c r="K110" i="17"/>
  <c r="K115" i="17"/>
  <c r="L115" i="17"/>
  <c r="D77" i="1"/>
  <c r="K108" i="17"/>
  <c r="K107" i="17"/>
  <c r="L107" i="17"/>
  <c r="D75" i="1"/>
  <c r="K175" i="17"/>
  <c r="K143" i="17"/>
  <c r="K165" i="17"/>
  <c r="K98" i="17"/>
  <c r="K141" i="17"/>
  <c r="K174" i="17"/>
  <c r="K140" i="17"/>
  <c r="K121" i="17"/>
  <c r="K142" i="17"/>
  <c r="H122" i="17"/>
  <c r="K122" i="17"/>
  <c r="K167" i="17"/>
  <c r="K164" i="17"/>
  <c r="K137" i="17"/>
  <c r="K34" i="16"/>
  <c r="L34" i="16"/>
  <c r="D160" i="1"/>
  <c r="I40" i="16"/>
  <c r="I43" i="16"/>
  <c r="K12" i="16"/>
  <c r="L12" i="16"/>
  <c r="D148" i="1"/>
  <c r="L13" i="16"/>
  <c r="D150" i="1"/>
  <c r="J20" i="16"/>
  <c r="K20" i="16"/>
  <c r="K19" i="16"/>
  <c r="L19" i="16"/>
  <c r="D152" i="1"/>
  <c r="H18" i="16"/>
  <c r="J225" i="17"/>
  <c r="K225" i="17"/>
  <c r="K224" i="17"/>
  <c r="L224" i="17"/>
  <c r="D111" i="1"/>
  <c r="K173" i="17"/>
  <c r="K99" i="17"/>
  <c r="K97" i="17" s="1"/>
  <c r="L97" i="17" s="1"/>
  <c r="D72" i="1" s="1"/>
  <c r="K68" i="17"/>
  <c r="K136" i="17"/>
  <c r="K147" i="17"/>
  <c r="K171" i="17"/>
  <c r="K169" i="17"/>
  <c r="L169" i="17"/>
  <c r="D88" i="1"/>
  <c r="K23" i="17"/>
  <c r="L23" i="17"/>
  <c r="K83" i="17"/>
  <c r="L83" i="17"/>
  <c r="D69" i="1"/>
  <c r="K72" i="17"/>
  <c r="L72" i="17"/>
  <c r="D68" i="1"/>
  <c r="K192" i="17"/>
  <c r="K191" i="17"/>
  <c r="K127" i="17"/>
  <c r="L127" i="17"/>
  <c r="D81" i="1"/>
  <c r="K183" i="17"/>
  <c r="K157" i="17"/>
  <c r="K56" i="17"/>
  <c r="L56" i="17"/>
  <c r="D63" i="1"/>
  <c r="K155" i="17"/>
  <c r="K153" i="17"/>
  <c r="K163" i="17"/>
  <c r="K66" i="17"/>
  <c r="K64" i="17"/>
  <c r="L64" i="17"/>
  <c r="D65" i="1"/>
  <c r="G69" i="17"/>
  <c r="K189" i="17"/>
  <c r="K190" i="17"/>
  <c r="K185" i="17"/>
  <c r="K154" i="17"/>
  <c r="H23" i="16"/>
  <c r="K18" i="16"/>
  <c r="K17" i="16"/>
  <c r="L17" i="16"/>
  <c r="D151" i="1"/>
  <c r="K188" i="17"/>
  <c r="L188" i="17"/>
  <c r="D94" i="1"/>
  <c r="G160" i="17"/>
  <c r="K160" i="17"/>
  <c r="K69" i="17"/>
  <c r="K67" i="17"/>
  <c r="L67" i="17"/>
  <c r="D66" i="1"/>
  <c r="M168" i="5"/>
  <c r="M170" i="5"/>
  <c r="O166" i="5"/>
  <c r="H138" i="5"/>
  <c r="O145" i="5"/>
  <c r="O115" i="5"/>
  <c r="J164" i="5"/>
  <c r="O164" i="5"/>
  <c r="O82" i="5"/>
  <c r="Q58" i="5"/>
  <c r="R58" i="5"/>
  <c r="R57" i="5"/>
  <c r="I155" i="5"/>
  <c r="I157" i="5"/>
  <c r="O74" i="5"/>
  <c r="K88" i="5"/>
  <c r="H93" i="5"/>
  <c r="O124" i="5"/>
  <c r="O96" i="5"/>
  <c r="K98" i="5"/>
  <c r="O98" i="5"/>
  <c r="H109" i="5"/>
  <c r="J132" i="5"/>
  <c r="O132" i="5"/>
  <c r="H146" i="5"/>
  <c r="H88" i="5"/>
  <c r="J76" i="5"/>
  <c r="O76" i="5"/>
  <c r="O91" i="5"/>
  <c r="J131" i="5"/>
  <c r="O48" i="5"/>
  <c r="O63" i="5"/>
  <c r="O24" i="5"/>
  <c r="O52" i="5"/>
  <c r="O58" i="5"/>
  <c r="O59" i="5"/>
  <c r="O50" i="5"/>
  <c r="O26" i="5"/>
  <c r="O137" i="5"/>
  <c r="K83" i="5"/>
  <c r="O83" i="5"/>
  <c r="O72" i="5"/>
  <c r="O128" i="5"/>
  <c r="O12" i="5"/>
  <c r="O118" i="5"/>
  <c r="O87" i="5"/>
  <c r="O39" i="5"/>
  <c r="O40" i="5"/>
  <c r="O30" i="5"/>
  <c r="O28" i="5"/>
  <c r="O105" i="5"/>
  <c r="J42" i="5"/>
  <c r="J44" i="5"/>
  <c r="O25" i="5"/>
  <c r="M139" i="5"/>
  <c r="M141" i="5"/>
  <c r="N139" i="5"/>
  <c r="N141" i="5"/>
  <c r="O80" i="5"/>
  <c r="K155" i="5"/>
  <c r="K157" i="5"/>
  <c r="M155" i="5"/>
  <c r="M157" i="5"/>
  <c r="L155" i="5"/>
  <c r="L157" i="5"/>
  <c r="O93" i="5"/>
  <c r="O95" i="5"/>
  <c r="I168" i="5"/>
  <c r="I170" i="5"/>
  <c r="N168" i="5"/>
  <c r="N170" i="5"/>
  <c r="K168" i="5"/>
  <c r="K170" i="5"/>
  <c r="L168" i="5"/>
  <c r="L170" i="5"/>
  <c r="Q35" i="5"/>
  <c r="R35" i="5"/>
  <c r="O153" i="5"/>
  <c r="N155" i="5"/>
  <c r="N157" i="5"/>
  <c r="O111" i="5"/>
  <c r="K86" i="5"/>
  <c r="O86" i="5"/>
  <c r="O150" i="5"/>
  <c r="H112" i="5"/>
  <c r="O113" i="5"/>
  <c r="J149" i="5"/>
  <c r="O149" i="5"/>
  <c r="H154" i="5"/>
  <c r="R13" i="5"/>
  <c r="O116" i="5"/>
  <c r="O92" i="5"/>
  <c r="H162" i="5"/>
  <c r="H81" i="5"/>
  <c r="O90" i="5"/>
  <c r="J167" i="5"/>
  <c r="O167" i="5"/>
  <c r="O77" i="5"/>
  <c r="O108" i="5"/>
  <c r="H83" i="5"/>
  <c r="O85" i="5"/>
  <c r="H73" i="5"/>
  <c r="O71" i="5"/>
  <c r="O138" i="5"/>
  <c r="O56" i="5"/>
  <c r="O57" i="5"/>
  <c r="O61" i="5"/>
  <c r="O106" i="5"/>
  <c r="I139" i="5"/>
  <c r="I141" i="5"/>
  <c r="O60" i="5"/>
  <c r="O27" i="5"/>
  <c r="O65" i="5"/>
  <c r="O107" i="5"/>
  <c r="O117" i="5"/>
  <c r="O125" i="5"/>
  <c r="O154" i="5"/>
  <c r="O162" i="5"/>
  <c r="O29" i="5"/>
  <c r="O64" i="5"/>
  <c r="O151" i="5"/>
  <c r="O34" i="5"/>
  <c r="O38" i="5"/>
  <c r="O62" i="5"/>
  <c r="O49" i="5"/>
  <c r="O88" i="5"/>
  <c r="O37" i="5"/>
  <c r="O73" i="5"/>
  <c r="O146" i="5"/>
  <c r="O112" i="5"/>
  <c r="O53" i="5"/>
  <c r="O36" i="5"/>
  <c r="O129" i="5"/>
  <c r="O33" i="5"/>
  <c r="O35" i="5"/>
  <c r="O41" i="5"/>
  <c r="O32" i="5"/>
  <c r="O148" i="5"/>
  <c r="Q59" i="5"/>
  <c r="R59" i="5"/>
  <c r="L139" i="5"/>
  <c r="L141" i="5"/>
  <c r="O161" i="5"/>
  <c r="O109" i="5"/>
  <c r="O81" i="5"/>
  <c r="O165" i="5"/>
  <c r="O163" i="5" s="1"/>
  <c r="K42" i="20" s="1"/>
  <c r="K41" i="20" s="1"/>
  <c r="L41" i="20" s="1"/>
  <c r="D189" i="1" s="1"/>
  <c r="H165" i="5"/>
  <c r="N42" i="5"/>
  <c r="N44" i="5"/>
  <c r="K42" i="5"/>
  <c r="K44" i="5"/>
  <c r="O14" i="5"/>
  <c r="I42" i="5"/>
  <c r="I44" i="5"/>
  <c r="L42" i="5"/>
  <c r="L44" i="5"/>
  <c r="M42" i="5"/>
  <c r="M44" i="5"/>
  <c r="O13" i="5"/>
  <c r="K43" i="21"/>
  <c r="K42" i="21"/>
  <c r="L42" i="21"/>
  <c r="D211" i="1"/>
  <c r="K31" i="21"/>
  <c r="K30" i="21"/>
  <c r="L30" i="21"/>
  <c r="D205" i="1"/>
  <c r="D202" i="1"/>
  <c r="J28" i="21"/>
  <c r="K28" i="21"/>
  <c r="H37" i="20"/>
  <c r="H40" i="20"/>
  <c r="H39" i="20"/>
  <c r="K39" i="20"/>
  <c r="H20" i="20"/>
  <c r="K20" i="20"/>
  <c r="K19" i="20"/>
  <c r="K40" i="20"/>
  <c r="H22" i="20"/>
  <c r="K22" i="20"/>
  <c r="K13" i="20"/>
  <c r="L13" i="20"/>
  <c r="D176" i="1"/>
  <c r="K18" i="20"/>
  <c r="K17" i="20"/>
  <c r="L17" i="20"/>
  <c r="D177" i="1"/>
  <c r="I27" i="20"/>
  <c r="O144" i="5"/>
  <c r="K30" i="16"/>
  <c r="K29" i="16"/>
  <c r="L29" i="16"/>
  <c r="D158" i="1"/>
  <c r="K139" i="5"/>
  <c r="K141" i="5"/>
  <c r="O152" i="5"/>
  <c r="K47" i="16"/>
  <c r="K46" i="16"/>
  <c r="L46" i="16"/>
  <c r="D164" i="1"/>
  <c r="O136" i="5"/>
  <c r="K125" i="17"/>
  <c r="K124" i="17"/>
  <c r="L124" i="17"/>
  <c r="D79" i="1"/>
  <c r="O147" i="5"/>
  <c r="K38" i="16"/>
  <c r="K37" i="16"/>
  <c r="L37" i="16"/>
  <c r="D161" i="1"/>
  <c r="O70" i="5"/>
  <c r="K71" i="17"/>
  <c r="K70" i="17"/>
  <c r="L70" i="17"/>
  <c r="D67" i="1"/>
  <c r="O11" i="5"/>
  <c r="K46" i="2"/>
  <c r="K45" i="2"/>
  <c r="L45" i="2"/>
  <c r="D29" i="1"/>
  <c r="Q36" i="5"/>
  <c r="R36" i="5"/>
  <c r="O31" i="5"/>
  <c r="K72" i="2"/>
  <c r="K71" i="2"/>
  <c r="L71" i="2"/>
  <c r="D37" i="1"/>
  <c r="J168" i="5"/>
  <c r="J170" i="5"/>
  <c r="J155" i="5"/>
  <c r="J157" i="5"/>
  <c r="O157" i="5"/>
  <c r="O160" i="5"/>
  <c r="K34" i="20"/>
  <c r="K33" i="20"/>
  <c r="L33" i="20"/>
  <c r="D186" i="1"/>
  <c r="O78" i="5"/>
  <c r="K93" i="17"/>
  <c r="K92" i="17"/>
  <c r="L92" i="17"/>
  <c r="D70" i="1"/>
  <c r="Q60" i="5"/>
  <c r="R60" i="5"/>
  <c r="D200" i="1"/>
  <c r="J27" i="21"/>
  <c r="K27" i="21"/>
  <c r="K26" i="21"/>
  <c r="L26" i="21"/>
  <c r="D203" i="1"/>
  <c r="K33" i="21"/>
  <c r="K32" i="21"/>
  <c r="L32" i="21"/>
  <c r="D206" i="1"/>
  <c r="K21" i="20"/>
  <c r="L19" i="20"/>
  <c r="D178" i="1"/>
  <c r="K27" i="20"/>
  <c r="K26" i="20"/>
  <c r="L26" i="20"/>
  <c r="D182" i="1"/>
  <c r="I30" i="20"/>
  <c r="Q37" i="5"/>
  <c r="R37" i="5"/>
  <c r="Q61" i="5"/>
  <c r="R61" i="5"/>
  <c r="K34" i="21"/>
  <c r="L34" i="21"/>
  <c r="D207" i="1"/>
  <c r="L21" i="20"/>
  <c r="D179" i="1"/>
  <c r="K37" i="20"/>
  <c r="K35" i="20"/>
  <c r="L35" i="20"/>
  <c r="D187" i="1"/>
  <c r="H32" i="20"/>
  <c r="K32" i="20"/>
  <c r="K31" i="20"/>
  <c r="L31" i="20"/>
  <c r="D185" i="1"/>
  <c r="K30" i="20"/>
  <c r="K29" i="20"/>
  <c r="L29" i="20"/>
  <c r="Q38" i="5"/>
  <c r="R38" i="5"/>
  <c r="Q62" i="5"/>
  <c r="R62" i="5"/>
  <c r="K40" i="21"/>
  <c r="K39" i="21"/>
  <c r="L39" i="21"/>
  <c r="D209" i="1"/>
  <c r="K37" i="21"/>
  <c r="K36" i="21"/>
  <c r="E49" i="21"/>
  <c r="J49" i="21"/>
  <c r="K49" i="21"/>
  <c r="K48" i="21"/>
  <c r="L48" i="21"/>
  <c r="D213" i="1"/>
  <c r="Q39" i="5"/>
  <c r="R39" i="5"/>
  <c r="Q63" i="5"/>
  <c r="R63" i="5"/>
  <c r="D184" i="1"/>
  <c r="E45" i="20"/>
  <c r="K45" i="20"/>
  <c r="K44" i="20"/>
  <c r="L44" i="20"/>
  <c r="D191" i="1"/>
  <c r="O47" i="5"/>
  <c r="K63" i="17"/>
  <c r="K62" i="17"/>
  <c r="L62" i="17"/>
  <c r="D64" i="1"/>
  <c r="D57" i="1"/>
  <c r="J37" i="17"/>
  <c r="K37" i="17"/>
  <c r="D49" i="1"/>
  <c r="K16" i="17"/>
  <c r="K15" i="17"/>
  <c r="L15" i="17"/>
  <c r="D50" i="1"/>
  <c r="Q19" i="5"/>
  <c r="R18" i="5"/>
  <c r="S18" i="5"/>
  <c r="L36" i="21"/>
  <c r="D208" i="1"/>
  <c r="J24" i="20"/>
  <c r="K24" i="20"/>
  <c r="K23" i="20"/>
  <c r="L23" i="20"/>
  <c r="D180" i="1"/>
  <c r="K38" i="20"/>
  <c r="L38" i="20"/>
  <c r="D188" i="1"/>
  <c r="K12" i="20"/>
  <c r="L12" i="20"/>
  <c r="D174" i="1"/>
  <c r="O170" i="5"/>
  <c r="H40" i="17"/>
  <c r="K40" i="17"/>
  <c r="K39" i="17"/>
  <c r="L39" i="17"/>
  <c r="L191" i="17"/>
  <c r="D95" i="1"/>
  <c r="J215" i="17"/>
  <c r="K215" i="17"/>
  <c r="K214" i="17"/>
  <c r="L214" i="17"/>
  <c r="D106" i="1"/>
  <c r="Q40" i="5"/>
  <c r="O131" i="5"/>
  <c r="O126" i="5"/>
  <c r="K114" i="17"/>
  <c r="K113" i="17"/>
  <c r="L113" i="17"/>
  <c r="D76" i="1"/>
  <c r="J139" i="5"/>
  <c r="J141" i="5"/>
  <c r="O141" i="5"/>
  <c r="D55" i="1"/>
  <c r="J36" i="17"/>
  <c r="K36" i="17"/>
  <c r="K35" i="17"/>
  <c r="L35" i="17"/>
  <c r="D58" i="1"/>
  <c r="K152" i="17"/>
  <c r="L152" i="17"/>
  <c r="D84" i="1"/>
  <c r="H26" i="16"/>
  <c r="K23" i="16"/>
  <c r="K22" i="16"/>
  <c r="L22" i="16"/>
  <c r="D154" i="1"/>
  <c r="L164" i="17"/>
  <c r="D87" i="1"/>
  <c r="J213" i="17"/>
  <c r="K213" i="17"/>
  <c r="K212" i="17"/>
  <c r="L212" i="17"/>
  <c r="D105" i="1"/>
  <c r="K119" i="17"/>
  <c r="L119" i="17"/>
  <c r="D78" i="1"/>
  <c r="I220" i="17"/>
  <c r="K220" i="17"/>
  <c r="K218" i="17"/>
  <c r="L218" i="17"/>
  <c r="D108" i="1"/>
  <c r="K176" i="17"/>
  <c r="L176" i="17"/>
  <c r="D89" i="1"/>
  <c r="K13" i="21"/>
  <c r="K12" i="21"/>
  <c r="L12" i="21"/>
  <c r="D195" i="1"/>
  <c r="D194" i="1"/>
  <c r="K162" i="17"/>
  <c r="K161" i="17"/>
  <c r="L161" i="17"/>
  <c r="D86" i="1"/>
  <c r="I50" i="16"/>
  <c r="I52" i="16"/>
  <c r="H33" i="16"/>
  <c r="K33" i="16"/>
  <c r="K102" i="17"/>
  <c r="L102" i="17"/>
  <c r="D74" i="1"/>
  <c r="K30" i="17"/>
  <c r="K29" i="17"/>
  <c r="L29" i="17"/>
  <c r="D56" i="1"/>
  <c r="H50" i="16"/>
  <c r="H40" i="16"/>
  <c r="H32" i="16"/>
  <c r="K32" i="16"/>
  <c r="K31" i="16"/>
  <c r="L31" i="16"/>
  <c r="D159" i="1"/>
  <c r="H28" i="16"/>
  <c r="K28" i="16"/>
  <c r="K27" i="16"/>
  <c r="L27" i="16"/>
  <c r="D157" i="1"/>
  <c r="K26" i="16"/>
  <c r="K25" i="16"/>
  <c r="L25" i="16"/>
  <c r="Q20" i="5"/>
  <c r="R19" i="5"/>
  <c r="S19" i="5"/>
  <c r="E232" i="17"/>
  <c r="K232" i="17"/>
  <c r="L232" i="17"/>
  <c r="D116" i="1"/>
  <c r="D60" i="1"/>
  <c r="R40" i="5"/>
  <c r="Q41" i="5"/>
  <c r="R41" i="5"/>
  <c r="D156" i="1"/>
  <c r="Q21" i="5"/>
  <c r="R20" i="5"/>
  <c r="S20" i="5"/>
  <c r="H43" i="16"/>
  <c r="K43" i="16"/>
  <c r="K40" i="16"/>
  <c r="K39" i="16"/>
  <c r="L39" i="16"/>
  <c r="D162" i="1"/>
  <c r="I44" i="16"/>
  <c r="K44" i="16"/>
  <c r="K50" i="16"/>
  <c r="I51" i="16"/>
  <c r="K51" i="16"/>
  <c r="H52" i="16"/>
  <c r="K52" i="16"/>
  <c r="K42" i="16"/>
  <c r="L42" i="16"/>
  <c r="D163" i="1"/>
  <c r="K49" i="16"/>
  <c r="Q22" i="5"/>
  <c r="R22" i="5"/>
  <c r="S22" i="5"/>
  <c r="R21" i="5"/>
  <c r="S21" i="5"/>
  <c r="E61" i="16"/>
  <c r="K61" i="16"/>
  <c r="K60" i="16"/>
  <c r="L60" i="16"/>
  <c r="D170" i="1"/>
  <c r="K55" i="16"/>
  <c r="L49" i="16"/>
  <c r="D166" i="1"/>
  <c r="K57" i="16"/>
  <c r="K56" i="16"/>
  <c r="L56" i="16"/>
  <c r="D168" i="1"/>
  <c r="K54" i="16"/>
  <c r="L54" i="16"/>
  <c r="D167" i="1"/>
  <c r="J34" i="2"/>
  <c r="K34" i="2"/>
  <c r="K33" i="2"/>
  <c r="L33" i="2"/>
  <c r="D23" i="1"/>
  <c r="D21" i="1"/>
  <c r="K24" i="2"/>
  <c r="K23" i="2"/>
  <c r="L23" i="2"/>
  <c r="D16" i="1"/>
  <c r="D30" i="1"/>
  <c r="E86" i="2"/>
  <c r="K86" i="2"/>
  <c r="L86" i="2"/>
  <c r="D45" i="1"/>
  <c r="A8" i="17"/>
  <c r="A9" i="17"/>
  <c r="A9" i="1"/>
  <c r="A17" i="17"/>
  <c r="A47" i="1"/>
  <c r="A10" i="17"/>
  <c r="A11" i="2"/>
  <c r="A10" i="1"/>
  <c r="A25" i="2"/>
  <c r="A45" i="5"/>
  <c r="A46" i="1"/>
  <c r="A8" i="16"/>
  <c r="A17" i="1"/>
  <c r="A28" i="2"/>
  <c r="A26" i="2"/>
  <c r="A142" i="5"/>
  <c r="A8" i="20"/>
  <c r="A9" i="16"/>
  <c r="A145" i="1"/>
  <c r="A22" i="17"/>
  <c r="A51" i="1"/>
  <c r="A18" i="17"/>
  <c r="A11" i="1"/>
  <c r="A13" i="2"/>
  <c r="A12" i="17"/>
  <c r="A48" i="1"/>
  <c r="A20" i="17"/>
  <c r="A53" i="1"/>
  <c r="A52" i="1"/>
  <c r="A146" i="1"/>
  <c r="A14" i="16"/>
  <c r="A10" i="16"/>
  <c r="A29" i="2"/>
  <c r="A20" i="1"/>
  <c r="A35" i="2"/>
  <c r="A9" i="20"/>
  <c r="A8" i="21"/>
  <c r="A171" i="1"/>
  <c r="A158" i="5"/>
  <c r="A12" i="1"/>
  <c r="A16" i="2"/>
  <c r="A38" i="17"/>
  <c r="A23" i="17"/>
  <c r="A54" i="1"/>
  <c r="A27" i="2"/>
  <c r="A19" i="1"/>
  <c r="A18" i="1"/>
  <c r="A15" i="17"/>
  <c r="A50" i="1"/>
  <c r="A49" i="1"/>
  <c r="A59" i="1"/>
  <c r="A44" i="17"/>
  <c r="A39" i="17"/>
  <c r="A60" i="1"/>
  <c r="A13" i="1"/>
  <c r="A18" i="2"/>
  <c r="A192" i="1"/>
  <c r="A9" i="21"/>
  <c r="A21" i="1"/>
  <c r="A31" i="2"/>
  <c r="A172" i="1"/>
  <c r="A14" i="20"/>
  <c r="A10" i="20"/>
  <c r="A12" i="16"/>
  <c r="A148" i="1"/>
  <c r="A147" i="1"/>
  <c r="A55" i="1"/>
  <c r="A29" i="17"/>
  <c r="A24" i="1"/>
  <c r="A36" i="2"/>
  <c r="A25" i="1"/>
  <c r="A38" i="2"/>
  <c r="A149" i="1"/>
  <c r="A21" i="16"/>
  <c r="A15" i="16"/>
  <c r="A153" i="1"/>
  <c r="A24" i="16"/>
  <c r="A22" i="16"/>
  <c r="A154" i="1"/>
  <c r="A22" i="1"/>
  <c r="A33" i="2"/>
  <c r="A23" i="1"/>
  <c r="A14" i="1"/>
  <c r="A21" i="2"/>
  <c r="A56" i="1"/>
  <c r="A33" i="17"/>
  <c r="A12" i="20"/>
  <c r="A174" i="1"/>
  <c r="A173" i="1"/>
  <c r="A73" i="2"/>
  <c r="A26" i="1"/>
  <c r="A39" i="2"/>
  <c r="A10" i="5"/>
  <c r="A25" i="20"/>
  <c r="A15" i="20"/>
  <c r="A175" i="1"/>
  <c r="A10" i="21"/>
  <c r="A193" i="1"/>
  <c r="A14" i="21"/>
  <c r="A46" i="5"/>
  <c r="A61" i="1"/>
  <c r="A126" i="17"/>
  <c r="A45" i="17"/>
  <c r="A17" i="16"/>
  <c r="A150" i="1"/>
  <c r="A56" i="17"/>
  <c r="A62" i="1"/>
  <c r="A19" i="21"/>
  <c r="A196" i="1"/>
  <c r="A15" i="21"/>
  <c r="A176" i="1"/>
  <c r="A17" i="20"/>
  <c r="A35" i="17"/>
  <c r="A58" i="1"/>
  <c r="A57" i="1"/>
  <c r="A127" i="17"/>
  <c r="A81" i="1"/>
  <c r="A134" i="17"/>
  <c r="A80" i="1"/>
  <c r="A181" i="1"/>
  <c r="A28" i="20"/>
  <c r="A26" i="20"/>
  <c r="A182" i="1"/>
  <c r="A83" i="2"/>
  <c r="A38" i="1"/>
  <c r="A74" i="2"/>
  <c r="A194" i="1"/>
  <c r="A12" i="21"/>
  <c r="A195" i="1"/>
  <c r="A15" i="1"/>
  <c r="A23" i="2"/>
  <c r="A16" i="1"/>
  <c r="A19" i="16"/>
  <c r="A152" i="1"/>
  <c r="A151" i="1"/>
  <c r="A41" i="2"/>
  <c r="A27" i="1"/>
  <c r="A143" i="5"/>
  <c r="A25" i="16"/>
  <c r="A155" i="1"/>
  <c r="A48" i="16"/>
  <c r="A43" i="20"/>
  <c r="A29" i="20"/>
  <c r="A159" i="5"/>
  <c r="A183" i="1"/>
  <c r="A156" i="1"/>
  <c r="A27" i="16"/>
  <c r="A84" i="2"/>
  <c r="A42" i="1"/>
  <c r="A135" i="17"/>
  <c r="A82" i="1"/>
  <c r="A181" i="17"/>
  <c r="A19" i="20"/>
  <c r="A177" i="1"/>
  <c r="A29" i="21"/>
  <c r="A20" i="21"/>
  <c r="A199" i="1"/>
  <c r="A39" i="1"/>
  <c r="A76" i="2"/>
  <c r="A165" i="1"/>
  <c r="A49" i="16"/>
  <c r="A43" i="2"/>
  <c r="A45" i="2"/>
  <c r="A28" i="1"/>
  <c r="A197" i="1"/>
  <c r="A17" i="21"/>
  <c r="A198" i="1"/>
  <c r="A62" i="17"/>
  <c r="A63" i="1"/>
  <c r="A204" i="1"/>
  <c r="A30" i="21"/>
  <c r="A41" i="21"/>
  <c r="A11" i="5"/>
  <c r="A29" i="1"/>
  <c r="A47" i="2"/>
  <c r="A152" i="17"/>
  <c r="A83" i="1"/>
  <c r="A54" i="16"/>
  <c r="A166" i="1"/>
  <c r="A21" i="20"/>
  <c r="A178" i="1"/>
  <c r="A22" i="21"/>
  <c r="A200" i="1"/>
  <c r="A91" i="1"/>
  <c r="A182" i="17"/>
  <c r="A209" i="17"/>
  <c r="A85" i="2"/>
  <c r="A43" i="1"/>
  <c r="A40" i="1"/>
  <c r="A79" i="2"/>
  <c r="A41" i="1"/>
  <c r="A29" i="16"/>
  <c r="A157" i="1"/>
  <c r="A184" i="1"/>
  <c r="A31" i="20"/>
  <c r="A47" i="5"/>
  <c r="A64" i="1"/>
  <c r="A64" i="17"/>
  <c r="A44" i="20"/>
  <c r="A191" i="1"/>
  <c r="A190" i="1"/>
  <c r="A86" i="2"/>
  <c r="A45" i="1"/>
  <c r="A44" i="1"/>
  <c r="A221" i="17"/>
  <c r="A210" i="17"/>
  <c r="A103" i="1"/>
  <c r="A167" i="1"/>
  <c r="A56" i="16"/>
  <c r="A67" i="17"/>
  <c r="A65" i="1"/>
  <c r="A92" i="1"/>
  <c r="A186" i="17"/>
  <c r="A179" i="1"/>
  <c r="A23" i="20"/>
  <c r="A180" i="1"/>
  <c r="A84" i="1"/>
  <c r="A158" i="17"/>
  <c r="A42" i="21"/>
  <c r="A210" i="1"/>
  <c r="A158" i="1"/>
  <c r="A31" i="16"/>
  <c r="A144" i="5"/>
  <c r="A30" i="1"/>
  <c r="A49" i="2"/>
  <c r="A205" i="1"/>
  <c r="A32" i="21"/>
  <c r="A33" i="20"/>
  <c r="A185" i="1"/>
  <c r="A201" i="1"/>
  <c r="A24" i="21"/>
  <c r="A186" i="1"/>
  <c r="A35" i="20"/>
  <c r="A160" i="5"/>
  <c r="A202" i="1"/>
  <c r="A26" i="21"/>
  <c r="A203" i="1"/>
  <c r="A206" i="1"/>
  <c r="A34" i="21"/>
  <c r="A211" i="1"/>
  <c r="A46" i="21"/>
  <c r="A66" i="1"/>
  <c r="A70" i="17"/>
  <c r="A104" i="1"/>
  <c r="A212" i="17"/>
  <c r="A34" i="16"/>
  <c r="A159" i="1"/>
  <c r="A161" i="17"/>
  <c r="A85" i="1"/>
  <c r="A188" i="17"/>
  <c r="A93" i="1"/>
  <c r="A58" i="16"/>
  <c r="A168" i="1"/>
  <c r="A222" i="17"/>
  <c r="A109" i="1"/>
  <c r="A228" i="17"/>
  <c r="A15" i="5"/>
  <c r="A51" i="2"/>
  <c r="A31" i="1"/>
  <c r="A110" i="1"/>
  <c r="A224" i="17"/>
  <c r="A111" i="1"/>
  <c r="A214" i="17"/>
  <c r="A105" i="1"/>
  <c r="A236" i="17"/>
  <c r="A112" i="1"/>
  <c r="A229" i="17"/>
  <c r="A60" i="16"/>
  <c r="A170" i="1"/>
  <c r="A169" i="1"/>
  <c r="A86" i="1"/>
  <c r="A164" i="17"/>
  <c r="A72" i="17"/>
  <c r="A70" i="5"/>
  <c r="A67" i="1"/>
  <c r="A207" i="1"/>
  <c r="A36" i="21"/>
  <c r="A32" i="1"/>
  <c r="A55" i="2"/>
  <c r="A191" i="17"/>
  <c r="A94" i="1"/>
  <c r="A37" i="16"/>
  <c r="A160" i="1"/>
  <c r="A38" i="20"/>
  <c r="A187" i="1"/>
  <c r="A212" i="1"/>
  <c r="A48" i="21"/>
  <c r="A213" i="1"/>
  <c r="A60" i="2"/>
  <c r="A33" i="1"/>
  <c r="A208" i="1"/>
  <c r="A39" i="21"/>
  <c r="A209" i="1"/>
  <c r="A68" i="1"/>
  <c r="A83" i="17"/>
  <c r="A188" i="1"/>
  <c r="A41" i="20"/>
  <c r="A193" i="17"/>
  <c r="A95" i="1"/>
  <c r="A87" i="1"/>
  <c r="A169" i="17"/>
  <c r="A113" i="1"/>
  <c r="A230" i="17"/>
  <c r="A216" i="17"/>
  <c r="A106" i="1"/>
  <c r="A147" i="5"/>
  <c r="A161" i="1"/>
  <c r="A39" i="16"/>
  <c r="A237" i="17"/>
  <c r="A118" i="1"/>
  <c r="A257" i="17"/>
  <c r="A107" i="1"/>
  <c r="A218" i="17"/>
  <c r="A108" i="1"/>
  <c r="A69" i="1"/>
  <c r="A92" i="17"/>
  <c r="A238" i="17"/>
  <c r="A119" i="1"/>
  <c r="A88" i="1"/>
  <c r="A176" i="17"/>
  <c r="A189" i="1"/>
  <c r="A163" i="5"/>
  <c r="A42" i="16"/>
  <c r="A162" i="1"/>
  <c r="A258" i="17"/>
  <c r="A138" i="1"/>
  <c r="A231" i="17"/>
  <c r="A114" i="1"/>
  <c r="A96" i="1"/>
  <c r="A195" i="17"/>
  <c r="A197" i="17"/>
  <c r="A62" i="2"/>
  <c r="A34" i="1"/>
  <c r="A23" i="5"/>
  <c r="A97" i="1"/>
  <c r="A199" i="17"/>
  <c r="A120" i="1"/>
  <c r="A239" i="17"/>
  <c r="A179" i="17"/>
  <c r="A90" i="1"/>
  <c r="A89" i="1"/>
  <c r="A70" i="1"/>
  <c r="A78" i="5"/>
  <c r="A94" i="17"/>
  <c r="A66" i="2"/>
  <c r="A35" i="1"/>
  <c r="A115" i="1"/>
  <c r="A232" i="17"/>
  <c r="A163" i="1"/>
  <c r="A46" i="16"/>
  <c r="A139" i="1"/>
  <c r="A259" i="17"/>
  <c r="A152" i="5"/>
  <c r="A164" i="1"/>
  <c r="A71" i="2"/>
  <c r="A36" i="1"/>
  <c r="A116" i="1"/>
  <c r="A233" i="17"/>
  <c r="A117" i="1"/>
  <c r="A71" i="1"/>
  <c r="A97" i="17"/>
  <c r="A240" i="17"/>
  <c r="A121" i="1"/>
  <c r="A201" i="17"/>
  <c r="A98" i="1"/>
  <c r="A140" i="1"/>
  <c r="A260" i="17"/>
  <c r="A261" i="17"/>
  <c r="A141" i="1"/>
  <c r="A72" i="1"/>
  <c r="A100" i="17"/>
  <c r="A31" i="5"/>
  <c r="A37" i="1"/>
  <c r="A203" i="17"/>
  <c r="A99" i="1"/>
  <c r="A241" i="17"/>
  <c r="A122" i="1"/>
  <c r="A205" i="17"/>
  <c r="A100" i="1"/>
  <c r="A242" i="17"/>
  <c r="A123" i="1"/>
  <c r="A142" i="1"/>
  <c r="A262" i="17"/>
  <c r="A102" i="17"/>
  <c r="A73" i="1"/>
  <c r="A103" i="5"/>
  <c r="A107" i="17"/>
  <c r="A74" i="1"/>
  <c r="A124" i="1"/>
  <c r="A243" i="17"/>
  <c r="A101" i="1"/>
  <c r="A207" i="17"/>
  <c r="A102" i="1"/>
  <c r="A143" i="1"/>
  <c r="A263" i="17"/>
  <c r="A264" i="17"/>
  <c r="A144" i="1"/>
  <c r="A113" i="17"/>
  <c r="A75" i="1"/>
  <c r="A125" i="1"/>
  <c r="A244" i="17"/>
  <c r="A126" i="5"/>
  <c r="A76" i="1"/>
  <c r="A115" i="17"/>
  <c r="A126" i="1"/>
  <c r="A245" i="17"/>
  <c r="A77" i="1"/>
  <c r="A119" i="17"/>
  <c r="A246" i="17"/>
  <c r="A127" i="1"/>
  <c r="A247" i="17"/>
  <c r="A128" i="1"/>
  <c r="A78" i="1"/>
  <c r="A124" i="17"/>
  <c r="A129" i="1"/>
  <c r="A248" i="17"/>
  <c r="A249" i="17"/>
  <c r="A79" i="1"/>
  <c r="A136" i="5"/>
  <c r="A130" i="1"/>
  <c r="A250" i="17"/>
  <c r="A131" i="1"/>
  <c r="A251" i="17"/>
  <c r="A132" i="1"/>
  <c r="A252" i="17"/>
  <c r="A253" i="17"/>
  <c r="A133" i="1"/>
  <c r="A134" i="1"/>
  <c r="A254" i="17"/>
  <c r="A135" i="1"/>
  <c r="A255" i="17"/>
  <c r="A136" i="1"/>
  <c r="A256" i="17"/>
  <c r="A137" i="1"/>
  <c r="O44" i="5" l="1"/>
  <c r="O23" i="5"/>
  <c r="K61" i="2" s="1"/>
  <c r="K60" i="2" s="1"/>
  <c r="L60" i="2" s="1"/>
  <c r="D34" i="1" s="1"/>
  <c r="O103" i="5"/>
  <c r="K101" i="17" s="1"/>
  <c r="K100" i="17" s="1"/>
  <c r="L100" i="17" s="1"/>
  <c r="D73" i="1" s="1"/>
  <c r="K182" i="17"/>
  <c r="K158" i="17"/>
  <c r="L158" i="17" s="1"/>
  <c r="D85" i="1" s="1"/>
  <c r="K55" i="2"/>
  <c r="L55" i="2" s="1"/>
  <c r="D33" i="1" s="1"/>
  <c r="K139" i="17"/>
  <c r="K138" i="17"/>
  <c r="K135" i="17" s="1"/>
  <c r="L135" i="17" l="1"/>
  <c r="D83" i="1" s="1"/>
  <c r="J211" i="17"/>
  <c r="K211" i="17" s="1"/>
  <c r="K210" i="17" s="1"/>
  <c r="L210" i="17" s="1"/>
  <c r="D104" i="1" s="1"/>
  <c r="J217" i="17"/>
  <c r="K217" i="17" s="1"/>
  <c r="K216" i="17" s="1"/>
  <c r="L216" i="17" s="1"/>
  <c r="D107" i="1" s="1"/>
  <c r="J187" i="17"/>
  <c r="K187" i="17" s="1"/>
  <c r="K186" i="17" s="1"/>
  <c r="L186" i="17" s="1"/>
  <c r="D93" i="1" s="1"/>
  <c r="L182" i="17"/>
  <c r="D92" i="1" s="1"/>
</calcChain>
</file>

<file path=xl/sharedStrings.xml><?xml version="1.0" encoding="utf-8"?>
<sst xmlns="http://schemas.openxmlformats.org/spreadsheetml/2006/main" count="1257" uniqueCount="400">
  <si>
    <t>Metrado</t>
  </si>
  <si>
    <t>Obra</t>
  </si>
  <si>
    <t>ESTUDIO DEFINITIVO Y EXPEDIENTE TECNICO: AMPLIACION Y MEJORAMIENTO DE LOS SISTEMAS DE AGUA POTABLE Y ALCANTARILLADO DEL ESQUEMA PUCUSANA.</t>
  </si>
  <si>
    <t>Fórmula</t>
  </si>
  <si>
    <t>CAMARA DE BOMBEO DE DESAGUE CD 218</t>
  </si>
  <si>
    <t>Cliente</t>
  </si>
  <si>
    <t>SEDAPAL</t>
  </si>
  <si>
    <t>Depart.</t>
  </si>
  <si>
    <t>LIMA</t>
  </si>
  <si>
    <t>Provincia</t>
  </si>
  <si>
    <t>PUCUSANA</t>
  </si>
  <si>
    <t>Hecho por:</t>
  </si>
  <si>
    <t>Item</t>
  </si>
  <si>
    <t>Descripción</t>
  </si>
  <si>
    <t>Unidad</t>
  </si>
  <si>
    <t>|</t>
  </si>
  <si>
    <t>HOJA DE METRADOS</t>
  </si>
  <si>
    <t>Obra:</t>
  </si>
  <si>
    <t>E. Rojas Garcia</t>
  </si>
  <si>
    <t>ITEM</t>
  </si>
  <si>
    <t xml:space="preserve">DESCRIPCION </t>
  </si>
  <si>
    <t>UND</t>
  </si>
  <si>
    <t>N° DE</t>
  </si>
  <si>
    <t>METRADO</t>
  </si>
  <si>
    <t>PARCIAL</t>
  </si>
  <si>
    <t>TOTAL</t>
  </si>
  <si>
    <t>ELEM.</t>
  </si>
  <si>
    <t>FACTOR/Ø</t>
  </si>
  <si>
    <t>ALTURA</t>
  </si>
  <si>
    <t>LARGO</t>
  </si>
  <si>
    <t>ANCHO</t>
  </si>
  <si>
    <t>AREA</t>
  </si>
  <si>
    <t>CAMARA DE DESAGUE PROYECTADO CD-218</t>
  </si>
  <si>
    <t>CAMARA DE DESAGUE</t>
  </si>
  <si>
    <t>TRABAJOS PRELIMINARES</t>
  </si>
  <si>
    <t>Demolicion de losa  Aligerada</t>
  </si>
  <si>
    <t>m3</t>
  </si>
  <si>
    <t>losa de concreto armado de estructura existente</t>
  </si>
  <si>
    <t>Demolicion de muros de albañileria</t>
  </si>
  <si>
    <t>muro de cabeza</t>
  </si>
  <si>
    <t>Demolicion de losa maciza</t>
  </si>
  <si>
    <t>losa maciza</t>
  </si>
  <si>
    <t>Demolicion de muros reforzados</t>
  </si>
  <si>
    <t>muros de concreto armado de estructura existente</t>
  </si>
  <si>
    <t>Eliminación desmonte por demoliciones</t>
  </si>
  <si>
    <t>eliminacion</t>
  </si>
  <si>
    <t>OBRAS PROVISIONALES</t>
  </si>
  <si>
    <t>Trazo y replanteo inicial para camara</t>
  </si>
  <si>
    <t>und</t>
  </si>
  <si>
    <t>-</t>
  </si>
  <si>
    <t>Replanteo final de obra de camara</t>
  </si>
  <si>
    <t>MOVIMIENTO DE TIERRAS</t>
  </si>
  <si>
    <t>Excavacion en T. normal, p/construcciòn de caisson</t>
  </si>
  <si>
    <t>excavacion para camara seca y humeda</t>
  </si>
  <si>
    <t>Refine, nivelación y compactacion. en terreno rocoso</t>
  </si>
  <si>
    <t>m2</t>
  </si>
  <si>
    <t>refine para losa de cimentacion</t>
  </si>
  <si>
    <t>Eliminacion desmonte D=10km t. normal</t>
  </si>
  <si>
    <t>Excavacion</t>
  </si>
  <si>
    <t>vol=</t>
  </si>
  <si>
    <t>CONCRETO SIMPLE</t>
  </si>
  <si>
    <t>Concreto f'c 140 kg/cm2 +30%PG para relleno</t>
  </si>
  <si>
    <t>relleno compacto en camara</t>
  </si>
  <si>
    <t>OBRAS DE CONCRETO ARMADO</t>
  </si>
  <si>
    <t>Concreto f'c=350kg/cm2 p/cuchilla en caisson (cemento tipo V)</t>
  </si>
  <si>
    <t>losa de fondo</t>
  </si>
  <si>
    <t>Encofrado y Desencofrado (Incl. Habilitación de madera) para losas de fondo piso</t>
  </si>
  <si>
    <t>Acero en borde de cuchilla para proteccion</t>
  </si>
  <si>
    <t>kg</t>
  </si>
  <si>
    <t>cuchillas</t>
  </si>
  <si>
    <t>Acero estruc. trabajado p/cuchilla</t>
  </si>
  <si>
    <t>ver hoja de metrados acero</t>
  </si>
  <si>
    <t>Concreto f'c=350kg/cm2 p/losas de fondo (cemento tipo V)</t>
  </si>
  <si>
    <t>Acero estruc. trabajado p/losas de fondo piso</t>
  </si>
  <si>
    <t>Concreto f'c=350kg/cm2 p/muro (Cemento P-V)</t>
  </si>
  <si>
    <t>concreto para camara</t>
  </si>
  <si>
    <t>concreto para muro intermedio</t>
  </si>
  <si>
    <t>base en camara seca</t>
  </si>
  <si>
    <t>Encofrado y Desencofrado (Incl. Habilitación de madera) p/muro</t>
  </si>
  <si>
    <t>camara circular borde int.</t>
  </si>
  <si>
    <t>camara circular borde ext.</t>
  </si>
  <si>
    <t>muro intermedio</t>
  </si>
  <si>
    <t>Acero estruc. trabajado p/muros</t>
  </si>
  <si>
    <t>Concreto f'c=350kg/cm2  p/losa maciza (Cemento P-V)</t>
  </si>
  <si>
    <t>descuentos de ducto de inspeccion</t>
  </si>
  <si>
    <t>Encofrado y Desencofrado (Incl. Habilitación de madera) para losa maciza</t>
  </si>
  <si>
    <t xml:space="preserve"> losa</t>
  </si>
  <si>
    <t>borde de losa</t>
  </si>
  <si>
    <t>borde de ducto en losa</t>
  </si>
  <si>
    <t>Acero estruc. trabajado p/losa maciza (costo prom. incl. Desperdicios)</t>
  </si>
  <si>
    <t>TRATAMIENTO INTERIOR</t>
  </si>
  <si>
    <t>Tarrajeo de losa fondo piso con impermeabilizante</t>
  </si>
  <si>
    <t>Tarrajeo de muros con impermeabilizante</t>
  </si>
  <si>
    <t>camara humeda</t>
  </si>
  <si>
    <t>camara seca</t>
  </si>
  <si>
    <t>Tarrajeo de cielorasos  con impermeabilizante</t>
  </si>
  <si>
    <t>fondo de losa</t>
  </si>
  <si>
    <t>VARIOS</t>
  </si>
  <si>
    <t>Marco y tapa de fibra de vidrio  0.6x0.6m, con mecanismo de seguridad según especificación</t>
  </si>
  <si>
    <t>Escalera de fibra de vidrio tipo marinera</t>
  </si>
  <si>
    <t>m</t>
  </si>
  <si>
    <t>Prueba de calidad del concreto (prueba a la compresión)</t>
  </si>
  <si>
    <t>CASETA DE VALVULAS - GRUPO ELECTROGENO - TABLERO - CUARTO DEL OPERADOR - BAÑO</t>
  </si>
  <si>
    <t>Demolicion de muro de piedra</t>
  </si>
  <si>
    <t>muro existente</t>
  </si>
  <si>
    <t>Demolicion de piso de concreto</t>
  </si>
  <si>
    <t>losa</t>
  </si>
  <si>
    <t xml:space="preserve">Trazo y replanteo inicial </t>
  </si>
  <si>
    <t>area cuadrangular</t>
  </si>
  <si>
    <t xml:space="preserve">Replanteo final de obra </t>
  </si>
  <si>
    <t>Excavacion en T. normal c/maquinaria</t>
  </si>
  <si>
    <t>excavacion de terreno en borde de caseta existente</t>
  </si>
  <si>
    <t>escavacion en area debajo de caseta existente</t>
  </si>
  <si>
    <t>excavacion para zanja en zapata de borde</t>
  </si>
  <si>
    <t>borde de CDP</t>
  </si>
  <si>
    <t>borde de CISTERNA</t>
  </si>
  <si>
    <t xml:space="preserve">Refine, nivelación y compactacion. en terreno normal </t>
  </si>
  <si>
    <t>caseta</t>
  </si>
  <si>
    <t>descuento CDP</t>
  </si>
  <si>
    <t>descuento CISTERNA</t>
  </si>
  <si>
    <t>Relleno con material propio</t>
  </si>
  <si>
    <t>area extra para encofrado e=0.3m</t>
  </si>
  <si>
    <t>Relleno</t>
  </si>
  <si>
    <t>Concreto f'c 100 kg/cm2 para solados (Cemento P-V)</t>
  </si>
  <si>
    <t>en base de la caseta</t>
  </si>
  <si>
    <t>descuento BUZON PROYECTADO</t>
  </si>
  <si>
    <t>Concreto f'c 350 kg/cm2 p/losa de cimentacion (Cemento P-V)</t>
  </si>
  <si>
    <t>losa de cimentacion</t>
  </si>
  <si>
    <t>ducto de ventilacion</t>
  </si>
  <si>
    <t>chimeneo de ventilacion</t>
  </si>
  <si>
    <t>zapata en borde de CASETA</t>
  </si>
  <si>
    <t>zapata en borde deCDP</t>
  </si>
  <si>
    <t>zapata en borde de BUZON PROYECTADO</t>
  </si>
  <si>
    <t>zapata en borde de CISTERNA</t>
  </si>
  <si>
    <t>Encofrado y Desencofrado (Incl. Habilit. Madera) p/losa de cimentacion</t>
  </si>
  <si>
    <t>borde de CASETA</t>
  </si>
  <si>
    <t>borde de BUZON PROYECTADO</t>
  </si>
  <si>
    <t>ducto y chimenea de ventilacion</t>
  </si>
  <si>
    <t>Acero estruc. trabajado p/losa de cimentacion (costo prom. incl. Desperdicios)</t>
  </si>
  <si>
    <t>ver hoja de metrados de acero</t>
  </si>
  <si>
    <t>Concreto f'c 350 kg/cm2  p/columnas (Cemento P-V)</t>
  </si>
  <si>
    <t>C-1</t>
  </si>
  <si>
    <t>C-2</t>
  </si>
  <si>
    <t>Encofrado y Desencofrado (Incl. Habilit. Madera) p/columnas</t>
  </si>
  <si>
    <t>Acero estruc. trabajado p/columnas (costo prom. incl. Desperdicios)</t>
  </si>
  <si>
    <t>Concreto f'c 350 kg/cm2  p/muros reforzados (Cemento P-V)</t>
  </si>
  <si>
    <t>M-1</t>
  </si>
  <si>
    <t>V01</t>
  </si>
  <si>
    <t>V02</t>
  </si>
  <si>
    <t>muro en ducto de ventilacion</t>
  </si>
  <si>
    <t>chimenea de ventilacion</t>
  </si>
  <si>
    <t>Encofrado y Desencofrado (Incl. Habilit. Madera) p/muros reforzados</t>
  </si>
  <si>
    <t>Acero estruc. trabajado p/muros reforzados (costo prom. incl. Desperdicios)</t>
  </si>
  <si>
    <t>Concreto f'c 350 kg/cm2 p/vigas rectas (Cemento P-V)</t>
  </si>
  <si>
    <t>V-101</t>
  </si>
  <si>
    <t>V-102</t>
  </si>
  <si>
    <t>Encofrado y Desencofrado (Incl. Habilit. Madera) p/vigas rectas y curvos</t>
  </si>
  <si>
    <t>perimetro=</t>
  </si>
  <si>
    <t>Acero estruc. trabajado p/vigas rectas (costo prom. incl. Desperdicios)</t>
  </si>
  <si>
    <t>Concreto f'c 350 kg/cm2 p/losa maciza (Cemento P-V)</t>
  </si>
  <si>
    <t>losa 1</t>
  </si>
  <si>
    <t>a</t>
  </si>
  <si>
    <t>losa 2</t>
  </si>
  <si>
    <t>volado</t>
  </si>
  <si>
    <t>Encofrado y Desencofrado (incl.hab. de madera)  p/losas maciza</t>
  </si>
  <si>
    <t>base de losa 1</t>
  </si>
  <si>
    <t>base de losa 2</t>
  </si>
  <si>
    <t>base de volado</t>
  </si>
  <si>
    <t>Concreto f'c 350 kg/cm2 p/escalera (Cemento P-V)</t>
  </si>
  <si>
    <t>base</t>
  </si>
  <si>
    <t>garganta</t>
  </si>
  <si>
    <t>peldaños</t>
  </si>
  <si>
    <t>Encofrado y Desencofrado (incl.hab. de madera)  p/escalera</t>
  </si>
  <si>
    <t>garganda</t>
  </si>
  <si>
    <t>costados de garganta</t>
  </si>
  <si>
    <t>contrapasos</t>
  </si>
  <si>
    <t>Acero estruc. trabajado p/escalera (costo prom. incl. Desperdicios)</t>
  </si>
  <si>
    <t>MURO DE ALBAÑILERIA</t>
  </si>
  <si>
    <t>Muros de ladrillo KK de arcilla de soga mortero 1:4 x 1.5 cms.</t>
  </si>
  <si>
    <t>muros interiores</t>
  </si>
  <si>
    <t>P-01</t>
  </si>
  <si>
    <t>P-02</t>
  </si>
  <si>
    <t>P-03</t>
  </si>
  <si>
    <t>V03</t>
  </si>
  <si>
    <t>REVESTIMIENTOS</t>
  </si>
  <si>
    <t>Tarrajeo interior con mortero 1:5x1.5 cms (incl. Columnetas empotradas)</t>
  </si>
  <si>
    <t>Tarrajeo exterior con mortero 1:5x1.5 cms (incl. Columnetas empotradas)</t>
  </si>
  <si>
    <t xml:space="preserve">Tarrajeo de columnas interior y exterior con mortero 1:5x1.5 cms </t>
  </si>
  <si>
    <t xml:space="preserve">Tarrajeo de vigas con mortero 1:5x1.5 cms </t>
  </si>
  <si>
    <t>Cielo rasos incluye vigas empotradas con mortero 1:4x1.5 cms</t>
  </si>
  <si>
    <t>Vestidura de derrames en puertas, ventana y vanos</t>
  </si>
  <si>
    <t>Contrazócalo interior de cemento frotachado con mortero 1:5 de 2 cm x 0,10</t>
  </si>
  <si>
    <t>interior</t>
  </si>
  <si>
    <t>en muros</t>
  </si>
  <si>
    <t>Cubierta ladrillo pastelero asentado de barro 3 cm + fragua c/mortero 1:5</t>
  </si>
  <si>
    <t>area regular</t>
  </si>
  <si>
    <t>CARPINTERIA METALICA</t>
  </si>
  <si>
    <t>Ventana de aluminio con cristal fierro c/perfil "L" de 2" x 1/4" fija  + fierro corrugado de 3/4"</t>
  </si>
  <si>
    <t>Malla protectora de almbre galvanizado N° 12 cocada de 11/2"</t>
  </si>
  <si>
    <t>en ventanas</t>
  </si>
  <si>
    <t>Puerta contraplacada con marco de madera cedro 2" x 6", pintado al DUCO</t>
  </si>
  <si>
    <t>Puerta metalica batiente c/malla metalica cocada 11/2"</t>
  </si>
  <si>
    <t>Marco y tapa de plancha acero inox. 0,7x0,7 m con mecanismo de seguridad s/diseño</t>
  </si>
  <si>
    <t>Marco y tapa de plancha acero inox. 2.0x1.2 m con mecanismo de seguridad s/diseño</t>
  </si>
  <si>
    <t>sistema de izaje en camara seca</t>
  </si>
  <si>
    <t>polea de izaje</t>
  </si>
  <si>
    <t>tambor con manivela DE RATCHET</t>
  </si>
  <si>
    <t>reja mecanizado tipo cesto, según detalle</t>
  </si>
  <si>
    <t>sistema de reja fina, según detalle</t>
  </si>
  <si>
    <t>reja tipo compuerta</t>
  </si>
  <si>
    <t>PINTURAS</t>
  </si>
  <si>
    <t>Pintado de muro interior y exterior con teknomate o supermate (incluye vigas y columnas)</t>
  </si>
  <si>
    <t>Pintado de cielo raso con teknomate o supermate (similar)</t>
  </si>
  <si>
    <t>Pintado de puertas metálicas LAC (2 manos anti-corrosiva +  2 esmalte)</t>
  </si>
  <si>
    <t>Pintado de ventanas metalicas (2manos anticorrosiva + 2esmalte)</t>
  </si>
  <si>
    <t xml:space="preserve">Pintado de contrazocalos con teknomate o supermate </t>
  </si>
  <si>
    <t>H=0.10</t>
  </si>
  <si>
    <t>H=0.30</t>
  </si>
  <si>
    <t xml:space="preserve">PISOS, VEREDAS </t>
  </si>
  <si>
    <t>Falso piso de concreto 1:10 de espesor  4" (cemento P-V)</t>
  </si>
  <si>
    <t>en areas con nivel 0.22m</t>
  </si>
  <si>
    <t>Acabado pulido de piso con mortero 1:2 x 1.5 cm de espesor</t>
  </si>
  <si>
    <t>similar falso piso</t>
  </si>
  <si>
    <t>caseta de valvulas</t>
  </si>
  <si>
    <t>descuento de ss.hh</t>
  </si>
  <si>
    <t>Cerradura de perilla tipo forte</t>
  </si>
  <si>
    <t>Candado, incluyendo aldabas</t>
  </si>
  <si>
    <t>Bisagra de fierro para puerta (promedio)</t>
  </si>
  <si>
    <t>suministro y colocacion de ceramico 0.15x0.15</t>
  </si>
  <si>
    <t/>
  </si>
  <si>
    <t>ceramico en ss.hh.</t>
  </si>
  <si>
    <t>SISTEMA DE DESAGUE</t>
  </si>
  <si>
    <t>caja sumidero de concreto 0.35x0.35x0.50</t>
  </si>
  <si>
    <t>rejilla metalica 0.40x0.40</t>
  </si>
  <si>
    <t>caja de registro de desague 12"x24"</t>
  </si>
  <si>
    <t>pza</t>
  </si>
  <si>
    <t>red de derivacion pvc sal para desague de 2"</t>
  </si>
  <si>
    <t>ml</t>
  </si>
  <si>
    <t>red de derivacion pvc sal para desague de 3"</t>
  </si>
  <si>
    <t>red de derivacion pvc sal para desague de 4"</t>
  </si>
  <si>
    <t>salidas de pvc sal para ventilación de 2"</t>
  </si>
  <si>
    <t>pto</t>
  </si>
  <si>
    <t>salidas de pvc sal para desagüe de 2"</t>
  </si>
  <si>
    <t>salidas de pvc sal para desague de 3"</t>
  </si>
  <si>
    <t>salidas de pvc sal para desague de 4"</t>
  </si>
  <si>
    <t>registros de bronce cromado 3"</t>
  </si>
  <si>
    <t>registros de bronce cromado 4"</t>
  </si>
  <si>
    <t>inodoro tanque bajo blanco</t>
  </si>
  <si>
    <t>lavatorio de pared con gritería cromada 20x17 cm  (jamaica o similar)</t>
  </si>
  <si>
    <t>ducha cromada 1 llave incluye accesorios</t>
  </si>
  <si>
    <t>jabonera de losa color blanco</t>
  </si>
  <si>
    <t xml:space="preserve">Toallera de losa y barra plástica color blanco </t>
  </si>
  <si>
    <t>papelera de losa y barra plástica color blanco</t>
  </si>
  <si>
    <t>instalación de accesorios sanitarios complementarios</t>
  </si>
  <si>
    <t>instalación de aparatos sanitarios</t>
  </si>
  <si>
    <t>SISTEMA DE AGUA FRIA</t>
  </si>
  <si>
    <t>salida de agua fría con tuberia de pvc-sap 1/2"</t>
  </si>
  <si>
    <t>salida de agua fría con tuberia de pvc-sap 3/4"</t>
  </si>
  <si>
    <t>red de distribución tuberia de 1/2" pvc-sap</t>
  </si>
  <si>
    <t>red de distribución tuberia de 3/4" pvc-sap</t>
  </si>
  <si>
    <t>válvulas de compuerta de bronce de 3/4"</t>
  </si>
  <si>
    <t>válvulas de compuerta de bronce de 1/2"</t>
  </si>
  <si>
    <t>llave de riego con grifo de 1/2"</t>
  </si>
  <si>
    <t>SAN MARTIN</t>
  </si>
  <si>
    <t>CISTERNA</t>
  </si>
  <si>
    <t>Trazo y replanteo inicial para cisterna</t>
  </si>
  <si>
    <t>area de trazo y replanteo</t>
  </si>
  <si>
    <t>Replanteo final de obra de cisterna</t>
  </si>
  <si>
    <t>limpieza de terreno con equipo</t>
  </si>
  <si>
    <t>excavaciones en terreno normal</t>
  </si>
  <si>
    <t>excavacion para cisterna</t>
  </si>
  <si>
    <t>refine, nivelacion y compactacion, en terreno normal</t>
  </si>
  <si>
    <t>area de cisterna</t>
  </si>
  <si>
    <t>eliminación de desmonte en terreno normal r=10 km con maquinaria</t>
  </si>
  <si>
    <t>excavacion - relleno c/mat. Prop.</t>
  </si>
  <si>
    <t>OBRAS DE CONCRETO SIMPLE</t>
  </si>
  <si>
    <t>concreto f'c=140 kg/cm2 para solados, e=0.10m</t>
  </si>
  <si>
    <t>solado en base de camara</t>
  </si>
  <si>
    <t>concreto f'c=280 kg/cm2. para losa de fondo  (cemento p-v)</t>
  </si>
  <si>
    <t>losa de cimentacion en camara</t>
  </si>
  <si>
    <t>encofrado (i/habilitacion de madera) p/losa de fondo</t>
  </si>
  <si>
    <t>encofrado  de borde de losa</t>
  </si>
  <si>
    <t>acero estruct. trabajado p/losa de fondo</t>
  </si>
  <si>
    <t>acero de refuerzo, ver hoja de metrados de acero</t>
  </si>
  <si>
    <t>concreto f'c=280 kg/cm2. para muros reforzados  (cemento p-v)</t>
  </si>
  <si>
    <t>parde x-x</t>
  </si>
  <si>
    <t>parde y-y</t>
  </si>
  <si>
    <t>encofrado (i/habilitacion de madera) p/muros reforzados</t>
  </si>
  <si>
    <t>borde ext</t>
  </si>
  <si>
    <t>perim=</t>
  </si>
  <si>
    <t>borde int</t>
  </si>
  <si>
    <t>acero estruct. trabajado p/muros reforzados</t>
  </si>
  <si>
    <t>concreto f'c=280 kg/cm2. para losa maciza  (cemento p-v)</t>
  </si>
  <si>
    <t>volumen de losa maciza</t>
  </si>
  <si>
    <t>volumen de ducto de ingreso</t>
  </si>
  <si>
    <t>encofrado (i/habilitacion de madera) p/losa</t>
  </si>
  <si>
    <t>costado</t>
  </si>
  <si>
    <t>ducto de ingreso</t>
  </si>
  <si>
    <t>acero estruct. trabajado p/losa</t>
  </si>
  <si>
    <t>Aplicación de 1ra. capa de Xypex concentrado p/impermeabilización interior de estructura hid.(3 x 1 agua)</t>
  </si>
  <si>
    <t>resta  ducto de ingreso</t>
  </si>
  <si>
    <t>Aplicación de 2da. capa de Xxypex concentrado p/impermeabilización interior de estructura hid.(5 x 2 agua)</t>
  </si>
  <si>
    <t>similar al area interior</t>
  </si>
  <si>
    <t>Limpieza y desinfección de cisterna</t>
  </si>
  <si>
    <t>Marco y tapa metalica tipo estriada  0.6x0.6m, con mecanismo de seguridad según especificación</t>
  </si>
  <si>
    <t>marco y tapa, según detalle</t>
  </si>
  <si>
    <t>MURO DE CONTENCION</t>
  </si>
  <si>
    <t>Trazo y replanteo inicial para muro</t>
  </si>
  <si>
    <t>Replanteo final de obra de muro</t>
  </si>
  <si>
    <t>excavaciones en terreno normal saturado</t>
  </si>
  <si>
    <t>excavacion para muro de contencion</t>
  </si>
  <si>
    <t>refine, nivelacion y compactacion, en terreno</t>
  </si>
  <si>
    <t>area de muro</t>
  </si>
  <si>
    <t>sobre cimento de muro</t>
  </si>
  <si>
    <t>Relleno con material de prestamo</t>
  </si>
  <si>
    <t>concreto f'c=350 kg/cm2. para losa de fondo  (cemento p-v)</t>
  </si>
  <si>
    <t>acero estruct. trabajado p/cimentacion</t>
  </si>
  <si>
    <t>concreto f'c=350 kg/cm2. para muro  (cemento p-v)</t>
  </si>
  <si>
    <t>seccion variable</t>
  </si>
  <si>
    <t>seccion constante</t>
  </si>
  <si>
    <t xml:space="preserve">encofrado (i/habilitacion de madera) p/muro </t>
  </si>
  <si>
    <t xml:space="preserve">acero estruct. trabajado p/muro </t>
  </si>
  <si>
    <t>Ubicacion:</t>
  </si>
  <si>
    <t>Fecha:</t>
  </si>
  <si>
    <t>CONSTRUCCION DE OBRAS VARIAS</t>
  </si>
  <si>
    <t>Demolicion de escaleras de concreto</t>
  </si>
  <si>
    <t>escalera</t>
  </si>
  <si>
    <t>trazo y replanteo inicial del proyecto</t>
  </si>
  <si>
    <t>area</t>
  </si>
  <si>
    <t>replanteo final de la obra</t>
  </si>
  <si>
    <t>excavacion en zapata</t>
  </si>
  <si>
    <t>refine, nivelacion y compactacion en terreno normal</t>
  </si>
  <si>
    <t>zanja de zapata</t>
  </si>
  <si>
    <t>relleno con material propio</t>
  </si>
  <si>
    <t>relleno en escalera</t>
  </si>
  <si>
    <t>eliminación de desmonte r=10 km con maquinaria</t>
  </si>
  <si>
    <t>volumen de excavacion</t>
  </si>
  <si>
    <t>volumen=</t>
  </si>
  <si>
    <t>volumen de relleno</t>
  </si>
  <si>
    <t>solado e=0.1m</t>
  </si>
  <si>
    <t>cimentacion de escalera</t>
  </si>
  <si>
    <t>concreto 1:10 + 30%pg p/cimientos (cemento p-V)</t>
  </si>
  <si>
    <t>sardinel</t>
  </si>
  <si>
    <t xml:space="preserve">encofrado y desencofrado (incl. habilit. madera) p/cimiento </t>
  </si>
  <si>
    <t>concreto f'c=280 kg/cm2. para escalera (cemento p-v)</t>
  </si>
  <si>
    <t>encofrado y desencofrado (i/habilitacion de madera)</t>
  </si>
  <si>
    <t>Muro de mamposteria de piedra con mortero</t>
  </si>
  <si>
    <t>reposicion de muro</t>
  </si>
  <si>
    <t>muro sobre caseta</t>
  </si>
  <si>
    <t>jardineria, acondicionamiento y sembrio de cesped</t>
  </si>
  <si>
    <t>areas para jardineria</t>
  </si>
  <si>
    <t>prueba de calidad de concreto (prueba a la compresion)</t>
  </si>
  <si>
    <t>HOJA DE METRADOS ACERO</t>
  </si>
  <si>
    <t>Descripcion</t>
  </si>
  <si>
    <t>Diseño de la varilla</t>
  </si>
  <si>
    <t>N° Elementos</t>
  </si>
  <si>
    <t>Diametro
(Pulg)</t>
  </si>
  <si>
    <t>N°
Varrillas</t>
  </si>
  <si>
    <t>Longitud 
Varilla</t>
  </si>
  <si>
    <t>Long
 Total</t>
  </si>
  <si>
    <t>LONGITUD PARCIAL POR DIAMETRO (m)</t>
  </si>
  <si>
    <t>Peso kg</t>
  </si>
  <si>
    <t>acero vertical</t>
  </si>
  <si>
    <t>acero de borde punta</t>
  </si>
  <si>
    <t>acero de borde int</t>
  </si>
  <si>
    <t>losa de fondo central (malla)</t>
  </si>
  <si>
    <t>acero vertical en camara</t>
  </si>
  <si>
    <t>acero vertical en muro intermedio</t>
  </si>
  <si>
    <t>acero horizontal en aros int</t>
  </si>
  <si>
    <t>acero horizontal en aros ext</t>
  </si>
  <si>
    <t>acero horizontal en muro intermedio</t>
  </si>
  <si>
    <t>acero en losa intermedia</t>
  </si>
  <si>
    <t>TOTAL LONG</t>
  </si>
  <si>
    <t>KG/M</t>
  </si>
  <si>
    <t>TOTAL PESO</t>
  </si>
  <si>
    <t>en zapata</t>
  </si>
  <si>
    <t>en borde de CDP</t>
  </si>
  <si>
    <t>en borde de CISTERNA</t>
  </si>
  <si>
    <t>en borde de BUZON PROYECTADO</t>
  </si>
  <si>
    <t>descuendo en CDP</t>
  </si>
  <si>
    <t>descruento en CISTERNA</t>
  </si>
  <si>
    <t>descuendo en BUZON</t>
  </si>
  <si>
    <t>estribos</t>
  </si>
  <si>
    <t>COLUMNA DE AMARRE EN MUROS</t>
  </si>
  <si>
    <t>MURO-01 (3.75m)</t>
  </si>
  <si>
    <t>acero horizontal</t>
  </si>
  <si>
    <t>MURO-01 (5.50m)</t>
  </si>
  <si>
    <t>MURO-01 (2.35m)</t>
  </si>
  <si>
    <t>VIGAS V-101</t>
  </si>
  <si>
    <t>acero longitudinal</t>
  </si>
  <si>
    <t>VIGAS V-103</t>
  </si>
  <si>
    <t>VIGAS V-102</t>
  </si>
  <si>
    <t>VIGAS V-SOLERA EN MUROS</t>
  </si>
  <si>
    <t>LOSA MACIZA NIVEL 3.62</t>
  </si>
  <si>
    <t>refuerzo x-x</t>
  </si>
  <si>
    <t>refuerzo y-y</t>
  </si>
  <si>
    <t>LOSA MACIZA NIVEL 2.82</t>
  </si>
  <si>
    <t>longitudinal</t>
  </si>
  <si>
    <t>transversal</t>
  </si>
  <si>
    <t>parrilla base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</si>
</sst>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64" formatCode="#,##0.0000"/>
    <numFmt numFmtId="165" formatCode="#,##0.000"/>
    <numFmt numFmtId="166" formatCode="&quot;03.003.005.004.0&quot;#"/>
    <numFmt numFmtId="167" formatCode="&quot;01.11.&quot;#"/>
    <numFmt numFmtId="168" formatCode="_ * #,##0.0_ ;_ * \-#,##0.0_ ;_ * &quot;-&quot;??_ ;_ @_ "/>
    <numFmt numFmtId="169" formatCode="_([$€-2]\ * #,##0.00_);_([$€-2]\ * \(#,##0.00\);_([$€-2]\ * &quot;-&quot;??_)"/>
    <numFmt numFmtId="170" formatCode="00.00.00"/>
    <numFmt numFmtId="171" formatCode="0.0"/>
    <numFmt numFmtId="172" formatCode="00.00.00.00.00"/>
  </numFmts>
  <fonts count="19">
    <font>
      <sz val="10"/>
      <name val="Arial"/>
    </font>
    <font>
      <sz val="10"/>
      <name val="Arial"/>
      <family val="2"/>
    </font>
    <font>
      <sz val="10"/>
      <color indexed="8"/>
      <name val="MS Sans Serif"/>
      <family val="2"/>
    </font>
    <font>
      <sz val="10"/>
      <color indexed="12"/>
      <name val="Arial Narrow"/>
      <family val="2"/>
    </font>
    <font>
      <b/>
      <sz val="10"/>
      <color indexed="12"/>
      <name val="Arial Narrow"/>
      <family val="2"/>
    </font>
    <font>
      <b/>
      <sz val="10"/>
      <name val="Arial Narrow"/>
      <family val="2"/>
    </font>
    <font>
      <sz val="10"/>
      <name val="Arial Narrow"/>
      <family val="2"/>
    </font>
    <font>
      <sz val="10"/>
      <color indexed="8"/>
      <name val="Arial Narrow"/>
      <family val="2"/>
    </font>
    <font>
      <u/>
      <sz val="10"/>
      <name val="Arial Narrow"/>
      <family val="2"/>
    </font>
    <font>
      <sz val="10"/>
      <name val="Arial"/>
      <family val="2"/>
    </font>
    <font>
      <b/>
      <sz val="10"/>
      <color indexed="8"/>
      <name val="Arial Narrow"/>
      <family val="2"/>
    </font>
    <font>
      <b/>
      <u/>
      <sz val="14"/>
      <color indexed="8"/>
      <name val="Arial Narrow"/>
      <family val="2"/>
    </font>
    <font>
      <b/>
      <u/>
      <sz val="14"/>
      <name val="Arial Narrow"/>
      <family val="2"/>
    </font>
    <font>
      <sz val="11"/>
      <name val="Arial Narrow"/>
      <family val="2"/>
    </font>
    <font>
      <b/>
      <sz val="11"/>
      <name val="Arial Narrow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1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CC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indexed="64"/>
      </bottom>
      <diagonal/>
    </border>
    <border>
      <left style="thin">
        <color indexed="64"/>
      </left>
      <right style="thin">
        <color theme="0"/>
      </right>
      <top style="thin">
        <color indexed="64"/>
      </top>
      <bottom style="thin">
        <color theme="0"/>
      </bottom>
      <diagonal/>
    </border>
    <border>
      <left style="thin">
        <color indexed="64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indexed="64"/>
      </right>
      <top style="thin">
        <color theme="0"/>
      </top>
      <bottom style="thin">
        <color theme="0"/>
      </bottom>
      <diagonal/>
    </border>
    <border>
      <left style="thin">
        <color indexed="64"/>
      </left>
      <right style="thin">
        <color theme="0"/>
      </right>
      <top style="thin">
        <color theme="0"/>
      </top>
      <bottom style="thin">
        <color indexed="64"/>
      </bottom>
      <diagonal/>
    </border>
    <border>
      <left style="thin">
        <color theme="0"/>
      </left>
      <right style="thin">
        <color indexed="64"/>
      </right>
      <top style="thin">
        <color theme="0"/>
      </top>
      <bottom style="thin">
        <color indexed="64"/>
      </bottom>
      <diagonal/>
    </border>
    <border>
      <left style="thin">
        <color theme="0" tint="-4.9989318521683403E-2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theme="0" tint="-4.9989318521683403E-2"/>
      </right>
      <top style="thin">
        <color indexed="64"/>
      </top>
      <bottom/>
      <diagonal/>
    </border>
    <border>
      <left style="thin">
        <color theme="0" tint="-4.9989318521683403E-2"/>
      </left>
      <right style="thin">
        <color indexed="64"/>
      </right>
      <top/>
      <bottom/>
      <diagonal/>
    </border>
    <border>
      <left style="thin">
        <color indexed="64"/>
      </left>
      <right style="thin">
        <color theme="0" tint="-4.9989318521683403E-2"/>
      </right>
      <top/>
      <bottom/>
      <diagonal/>
    </border>
    <border>
      <left style="thin">
        <color indexed="64"/>
      </left>
      <right style="thin">
        <color theme="0" tint="-4.9989318521683403E-2"/>
      </right>
      <top/>
      <bottom style="thin">
        <color indexed="64"/>
      </bottom>
      <diagonal/>
    </border>
    <border>
      <left style="thin">
        <color theme="0" tint="-4.9989318521683403E-2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theme="0"/>
      </right>
      <top style="thin">
        <color indexed="64"/>
      </top>
      <bottom/>
      <diagonal/>
    </border>
    <border>
      <left style="thin">
        <color theme="0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theme="0"/>
      </right>
      <top/>
      <bottom/>
      <diagonal/>
    </border>
    <border>
      <left style="thin">
        <color theme="0"/>
      </left>
      <right style="thin">
        <color indexed="64"/>
      </right>
      <top/>
      <bottom/>
      <diagonal/>
    </border>
    <border>
      <left style="thin">
        <color indexed="64"/>
      </left>
      <right style="thin">
        <color theme="0"/>
      </right>
      <top/>
      <bottom style="thin">
        <color indexed="64"/>
      </bottom>
      <diagonal/>
    </border>
    <border>
      <left style="thin">
        <color theme="0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theme="0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 style="thin">
        <color indexed="64"/>
      </right>
      <top style="thin">
        <color indexed="64"/>
      </top>
      <bottom style="thin">
        <color theme="0"/>
      </bottom>
      <diagonal/>
    </border>
  </borders>
  <cellStyleXfs count="15">
    <xf numFmtId="0" fontId="0" fillId="0" borderId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6" fillId="8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169" fontId="1" fillId="0" borderId="0" applyFont="0" applyFill="0" applyBorder="0" applyAlignment="0" applyProtection="0"/>
    <xf numFmtId="168" fontId="9" fillId="0" borderId="0" applyFont="0" applyFill="0" applyBorder="0" applyAlignment="0" applyProtection="0"/>
    <xf numFmtId="0" fontId="2" fillId="0" borderId="0"/>
    <xf numFmtId="0" fontId="1" fillId="0" borderId="0"/>
    <xf numFmtId="0" fontId="15" fillId="0" borderId="0"/>
    <xf numFmtId="0" fontId="15" fillId="11" borderId="17" applyNumberFormat="0" applyFont="0" applyAlignment="0" applyProtection="0"/>
  </cellStyleXfs>
  <cellXfs count="357">
    <xf numFmtId="0" fontId="0" fillId="0" borderId="0" xfId="0"/>
    <xf numFmtId="0" fontId="4" fillId="12" borderId="1" xfId="0" applyFont="1" applyFill="1" applyBorder="1" applyAlignment="1">
      <alignment horizontal="center" vertical="center"/>
    </xf>
    <xf numFmtId="0" fontId="7" fillId="0" borderId="0" xfId="0" applyNumberFormat="1" applyFont="1" applyFill="1" applyBorder="1" applyAlignment="1" applyProtection="1">
      <alignment horizontal="center"/>
    </xf>
    <xf numFmtId="2" fontId="7" fillId="0" borderId="0" xfId="0" applyNumberFormat="1" applyFont="1" applyFill="1" applyBorder="1" applyAlignment="1" applyProtection="1">
      <alignment horizontal="right" indent="1"/>
    </xf>
    <xf numFmtId="0" fontId="6" fillId="0" borderId="0" xfId="0" applyFont="1"/>
    <xf numFmtId="0" fontId="5" fillId="0" borderId="0" xfId="0" applyFont="1" applyFill="1" applyBorder="1"/>
    <xf numFmtId="0" fontId="6" fillId="0" borderId="2" xfId="0" applyFont="1" applyFill="1" applyBorder="1" applyAlignment="1">
      <alignment horizontal="center"/>
    </xf>
    <xf numFmtId="1" fontId="6" fillId="0" borderId="2" xfId="0" applyNumberFormat="1" applyFont="1" applyFill="1" applyBorder="1" applyAlignment="1">
      <alignment horizontal="center"/>
    </xf>
    <xf numFmtId="2" fontId="6" fillId="0" borderId="2" xfId="0" applyNumberFormat="1" applyFont="1" applyFill="1" applyBorder="1" applyAlignment="1">
      <alignment horizontal="center"/>
    </xf>
    <xf numFmtId="4" fontId="6" fillId="0" borderId="2" xfId="0" applyNumberFormat="1" applyFont="1" applyFill="1" applyBorder="1" applyAlignment="1">
      <alignment horizontal="right"/>
    </xf>
    <xf numFmtId="0" fontId="6" fillId="0" borderId="0" xfId="0" applyFont="1" applyFill="1" applyBorder="1"/>
    <xf numFmtId="0" fontId="6" fillId="0" borderId="0" xfId="0" applyFont="1" applyFill="1" applyBorder="1" applyAlignment="1">
      <alignment horizontal="right"/>
    </xf>
    <xf numFmtId="0" fontId="6" fillId="0" borderId="3" xfId="0" applyFont="1" applyFill="1" applyBorder="1" applyAlignment="1">
      <alignment horizontal="center"/>
    </xf>
    <xf numFmtId="1" fontId="6" fillId="0" borderId="3" xfId="0" applyNumberFormat="1" applyFont="1" applyFill="1" applyBorder="1" applyAlignment="1">
      <alignment horizontal="center"/>
    </xf>
    <xf numFmtId="4" fontId="6" fillId="0" borderId="3" xfId="0" applyNumberFormat="1" applyFont="1" applyFill="1" applyBorder="1" applyAlignment="1">
      <alignment horizontal="center"/>
    </xf>
    <xf numFmtId="4" fontId="6" fillId="0" borderId="3" xfId="0" applyNumberFormat="1" applyFont="1" applyFill="1" applyBorder="1" applyAlignment="1">
      <alignment horizontal="right"/>
    </xf>
    <xf numFmtId="4" fontId="5" fillId="0" borderId="3" xfId="0" applyNumberFormat="1" applyFont="1" applyFill="1" applyBorder="1" applyAlignment="1">
      <alignment horizontal="right"/>
    </xf>
    <xf numFmtId="2" fontId="5" fillId="0" borderId="3" xfId="0" applyNumberFormat="1" applyFont="1" applyFill="1" applyBorder="1" applyAlignment="1">
      <alignment horizontal="right"/>
    </xf>
    <xf numFmtId="2" fontId="6" fillId="0" borderId="3" xfId="0" applyNumberFormat="1" applyFont="1" applyFill="1" applyBorder="1" applyAlignment="1">
      <alignment horizontal="center"/>
    </xf>
    <xf numFmtId="2" fontId="6" fillId="0" borderId="3" xfId="0" applyNumberFormat="1" applyFont="1" applyFill="1" applyBorder="1" applyAlignment="1">
      <alignment horizontal="right"/>
    </xf>
    <xf numFmtId="2" fontId="6" fillId="0" borderId="2" xfId="0" applyNumberFormat="1" applyFont="1" applyFill="1" applyBorder="1" applyAlignment="1">
      <alignment horizontal="right"/>
    </xf>
    <xf numFmtId="0" fontId="6" fillId="0" borderId="0" xfId="0" applyFont="1" applyFill="1" applyBorder="1" applyAlignment="1">
      <alignment horizontal="center"/>
    </xf>
    <xf numFmtId="0" fontId="6" fillId="0" borderId="0" xfId="0" applyFont="1" applyFill="1"/>
    <xf numFmtId="0" fontId="6" fillId="0" borderId="2" xfId="0" applyFont="1" applyFill="1" applyBorder="1" applyAlignment="1">
      <alignment horizontal="right"/>
    </xf>
    <xf numFmtId="0" fontId="5" fillId="0" borderId="4" xfId="0" applyNumberFormat="1" applyFont="1" applyFill="1" applyBorder="1" applyAlignment="1" applyProtection="1">
      <alignment horizontal="center"/>
    </xf>
    <xf numFmtId="2" fontId="6" fillId="0" borderId="4" xfId="0" applyNumberFormat="1" applyFont="1" applyFill="1" applyBorder="1" applyAlignment="1" applyProtection="1">
      <alignment horizontal="right"/>
    </xf>
    <xf numFmtId="0" fontId="7" fillId="0" borderId="0" xfId="0" applyNumberFormat="1" applyFont="1" applyFill="1" applyBorder="1" applyAlignment="1" applyProtection="1"/>
    <xf numFmtId="0" fontId="6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/>
    <xf numFmtId="0" fontId="5" fillId="0" borderId="0" xfId="0" applyFont="1" applyFill="1" applyBorder="1" applyAlignment="1">
      <alignment horizontal="left"/>
    </xf>
    <xf numFmtId="0" fontId="6" fillId="0" borderId="1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right"/>
    </xf>
    <xf numFmtId="0" fontId="5" fillId="0" borderId="5" xfId="0" applyFont="1" applyFill="1" applyBorder="1"/>
    <xf numFmtId="0" fontId="6" fillId="0" borderId="6" xfId="0" applyFont="1" applyFill="1" applyBorder="1" applyAlignment="1">
      <alignment horizontal="center"/>
    </xf>
    <xf numFmtId="0" fontId="6" fillId="0" borderId="7" xfId="0" applyFont="1" applyFill="1" applyBorder="1"/>
    <xf numFmtId="0" fontId="6" fillId="0" borderId="8" xfId="0" applyFont="1" applyFill="1" applyBorder="1" applyAlignment="1">
      <alignment horizontal="center"/>
    </xf>
    <xf numFmtId="0" fontId="6" fillId="0" borderId="0" xfId="0" applyFont="1" applyFill="1" applyAlignment="1">
      <alignment horizontal="right"/>
    </xf>
    <xf numFmtId="0" fontId="6" fillId="0" borderId="3" xfId="0" applyFont="1" applyFill="1" applyBorder="1" applyAlignment="1">
      <alignment horizontal="right"/>
    </xf>
    <xf numFmtId="0" fontId="6" fillId="0" borderId="0" xfId="0" applyFont="1" applyFill="1" applyAlignment="1">
      <alignment wrapText="1"/>
    </xf>
    <xf numFmtId="0" fontId="13" fillId="0" borderId="9" xfId="11" applyFont="1" applyFill="1" applyBorder="1"/>
    <xf numFmtId="0" fontId="13" fillId="0" borderId="10" xfId="11" applyFont="1" applyFill="1" applyBorder="1" applyAlignment="1">
      <alignment horizontal="center"/>
    </xf>
    <xf numFmtId="0" fontId="13" fillId="0" borderId="9" xfId="11" applyFont="1" applyFill="1" applyBorder="1" applyAlignment="1">
      <alignment horizontal="center"/>
    </xf>
    <xf numFmtId="0" fontId="13" fillId="0" borderId="0" xfId="11" applyNumberFormat="1" applyFont="1" applyFill="1" applyBorder="1" applyAlignment="1" applyProtection="1"/>
    <xf numFmtId="0" fontId="13" fillId="0" borderId="0" xfId="11" applyFont="1" applyFill="1" applyBorder="1"/>
    <xf numFmtId="2" fontId="13" fillId="0" borderId="0" xfId="11" applyNumberFormat="1" applyFont="1" applyFill="1" applyBorder="1" applyAlignment="1" applyProtection="1"/>
    <xf numFmtId="0" fontId="13" fillId="0" borderId="0" xfId="11" applyNumberFormat="1" applyFont="1" applyFill="1" applyBorder="1" applyAlignment="1" applyProtection="1">
      <alignment horizontal="center"/>
    </xf>
    <xf numFmtId="12" fontId="13" fillId="0" borderId="0" xfId="11" applyNumberFormat="1" applyFont="1" applyFill="1" applyBorder="1" applyAlignment="1" applyProtection="1">
      <alignment horizontal="center"/>
    </xf>
    <xf numFmtId="0" fontId="13" fillId="0" borderId="0" xfId="11" applyNumberFormat="1" applyFont="1" applyFill="1" applyBorder="1" applyAlignment="1" applyProtection="1">
      <alignment horizontal="right"/>
    </xf>
    <xf numFmtId="0" fontId="13" fillId="0" borderId="0" xfId="11" applyNumberFormat="1" applyFont="1" applyFill="1" applyBorder="1" applyAlignment="1" applyProtection="1">
      <alignment horizontal="center" vertical="center"/>
    </xf>
    <xf numFmtId="12" fontId="14" fillId="12" borderId="1" xfId="11" applyNumberFormat="1" applyFont="1" applyFill="1" applyBorder="1" applyAlignment="1" applyProtection="1">
      <alignment horizontal="center"/>
    </xf>
    <xf numFmtId="0" fontId="14" fillId="12" borderId="1" xfId="11" applyNumberFormat="1" applyFont="1" applyFill="1" applyBorder="1" applyAlignment="1" applyProtection="1">
      <alignment horizontal="center"/>
    </xf>
    <xf numFmtId="0" fontId="13" fillId="0" borderId="10" xfId="11" applyNumberFormat="1" applyFont="1" applyFill="1" applyBorder="1" applyAlignment="1" applyProtection="1">
      <alignment horizontal="center"/>
    </xf>
    <xf numFmtId="12" fontId="13" fillId="0" borderId="10" xfId="11" applyNumberFormat="1" applyFont="1" applyFill="1" applyBorder="1" applyAlignment="1" applyProtection="1">
      <alignment horizontal="center"/>
    </xf>
    <xf numFmtId="0" fontId="13" fillId="0" borderId="10" xfId="11" applyNumberFormat="1" applyFont="1" applyFill="1" applyBorder="1" applyAlignment="1" applyProtection="1"/>
    <xf numFmtId="2" fontId="13" fillId="0" borderId="10" xfId="11" applyNumberFormat="1" applyFont="1" applyFill="1" applyBorder="1" applyAlignment="1" applyProtection="1">
      <alignment horizontal="right"/>
    </xf>
    <xf numFmtId="0" fontId="14" fillId="0" borderId="9" xfId="11" applyNumberFormat="1" applyFont="1" applyBorder="1" applyAlignment="1">
      <alignment horizontal="left" vertical="center" indent="1"/>
    </xf>
    <xf numFmtId="0" fontId="13" fillId="0" borderId="9" xfId="11" applyNumberFormat="1" applyFont="1" applyFill="1" applyBorder="1" applyAlignment="1" applyProtection="1">
      <alignment horizontal="center"/>
    </xf>
    <xf numFmtId="12" fontId="13" fillId="0" borderId="9" xfId="11" applyNumberFormat="1" applyFont="1" applyFill="1" applyBorder="1" applyAlignment="1" applyProtection="1">
      <alignment horizontal="center"/>
    </xf>
    <xf numFmtId="2" fontId="13" fillId="0" borderId="9" xfId="11" applyNumberFormat="1" applyFont="1" applyFill="1" applyBorder="1" applyAlignment="1" applyProtection="1">
      <alignment horizontal="center"/>
    </xf>
    <xf numFmtId="168" fontId="13" fillId="0" borderId="9" xfId="11" applyNumberFormat="1" applyFont="1" applyFill="1" applyBorder="1" applyAlignment="1" applyProtection="1">
      <alignment horizontal="center"/>
    </xf>
    <xf numFmtId="2" fontId="13" fillId="0" borderId="9" xfId="11" applyNumberFormat="1" applyFont="1" applyFill="1" applyBorder="1" applyAlignment="1" applyProtection="1">
      <alignment horizontal="right"/>
    </xf>
    <xf numFmtId="0" fontId="17" fillId="0" borderId="0" xfId="11" applyNumberFormat="1" applyFont="1" applyFill="1" applyBorder="1" applyAlignment="1" applyProtection="1"/>
    <xf numFmtId="0" fontId="6" fillId="13" borderId="0" xfId="0" applyFont="1" applyFill="1"/>
    <xf numFmtId="2" fontId="6" fillId="0" borderId="0" xfId="0" applyNumberFormat="1" applyFont="1" applyFill="1"/>
    <xf numFmtId="0" fontId="13" fillId="13" borderId="0" xfId="11" applyNumberFormat="1" applyFont="1" applyFill="1" applyBorder="1" applyAlignment="1" applyProtection="1"/>
    <xf numFmtId="0" fontId="13" fillId="14" borderId="0" xfId="11" applyNumberFormat="1" applyFont="1" applyFill="1" applyBorder="1" applyAlignment="1" applyProtection="1"/>
    <xf numFmtId="4" fontId="6" fillId="0" borderId="0" xfId="0" applyNumberFormat="1" applyFont="1" applyFill="1" applyBorder="1" applyAlignment="1">
      <alignment horizontal="center"/>
    </xf>
    <xf numFmtId="4" fontId="6" fillId="0" borderId="0" xfId="0" applyNumberFormat="1" applyFont="1" applyFill="1" applyBorder="1" applyAlignment="1">
      <alignment horizontal="right"/>
    </xf>
    <xf numFmtId="4" fontId="5" fillId="0" borderId="0" xfId="0" applyNumberFormat="1" applyFont="1" applyFill="1" applyBorder="1" applyAlignment="1">
      <alignment horizontal="right"/>
    </xf>
    <xf numFmtId="0" fontId="5" fillId="14" borderId="0" xfId="0" applyNumberFormat="1" applyFont="1" applyFill="1" applyBorder="1" applyAlignment="1" applyProtection="1"/>
    <xf numFmtId="0" fontId="6" fillId="14" borderId="0" xfId="0" applyNumberFormat="1" applyFont="1" applyFill="1" applyBorder="1" applyAlignment="1" applyProtection="1"/>
    <xf numFmtId="0" fontId="6" fillId="14" borderId="0" xfId="0" applyNumberFormat="1" applyFont="1" applyFill="1" applyBorder="1" applyAlignment="1" applyProtection="1">
      <alignment horizontal="left" indent="1"/>
    </xf>
    <xf numFmtId="0" fontId="5" fillId="14" borderId="0" xfId="0" applyNumberFormat="1" applyFont="1" applyFill="1" applyBorder="1" applyAlignment="1" applyProtection="1">
      <alignment horizontal="left" indent="1"/>
    </xf>
    <xf numFmtId="0" fontId="7" fillId="14" borderId="0" xfId="0" applyNumberFormat="1" applyFont="1" applyFill="1" applyBorder="1" applyAlignment="1" applyProtection="1"/>
    <xf numFmtId="0" fontId="10" fillId="14" borderId="0" xfId="0" applyNumberFormat="1" applyFont="1" applyFill="1" applyBorder="1" applyAlignment="1" applyProtection="1"/>
    <xf numFmtId="0" fontId="14" fillId="0" borderId="9" xfId="11" applyNumberFormat="1" applyFont="1" applyFill="1" applyBorder="1" applyAlignment="1">
      <alignment horizontal="left" vertical="center" indent="1"/>
    </xf>
    <xf numFmtId="2" fontId="14" fillId="0" borderId="9" xfId="11" applyNumberFormat="1" applyFont="1" applyFill="1" applyBorder="1" applyAlignment="1" applyProtection="1">
      <alignment horizontal="left" vertical="top"/>
    </xf>
    <xf numFmtId="2" fontId="18" fillId="0" borderId="1" xfId="11" applyNumberFormat="1" applyFont="1" applyFill="1" applyBorder="1" applyAlignment="1" applyProtection="1">
      <alignment horizontal="center" vertical="center"/>
    </xf>
    <xf numFmtId="0" fontId="5" fillId="0" borderId="11" xfId="0" applyFont="1" applyFill="1" applyBorder="1"/>
    <xf numFmtId="0" fontId="6" fillId="0" borderId="12" xfId="0" applyFont="1" applyFill="1" applyBorder="1"/>
    <xf numFmtId="0" fontId="6" fillId="0" borderId="6" xfId="0" applyFont="1" applyFill="1" applyBorder="1" applyAlignment="1">
      <alignment horizontal="right"/>
    </xf>
    <xf numFmtId="0" fontId="6" fillId="0" borderId="8" xfId="0" applyFont="1" applyFill="1" applyBorder="1" applyAlignment="1">
      <alignment horizontal="right"/>
    </xf>
    <xf numFmtId="0" fontId="6" fillId="0" borderId="13" xfId="0" applyFont="1" applyFill="1" applyBorder="1"/>
    <xf numFmtId="0" fontId="6" fillId="0" borderId="14" xfId="0" applyFont="1" applyFill="1" applyBorder="1" applyAlignment="1">
      <alignment horizontal="right"/>
    </xf>
    <xf numFmtId="0" fontId="6" fillId="0" borderId="4" xfId="0" applyFont="1" applyFill="1" applyBorder="1" applyAlignment="1">
      <alignment horizontal="center"/>
    </xf>
    <xf numFmtId="1" fontId="6" fillId="0" borderId="4" xfId="0" applyNumberFormat="1" applyFont="1" applyFill="1" applyBorder="1" applyAlignment="1">
      <alignment horizontal="center"/>
    </xf>
    <xf numFmtId="4" fontId="6" fillId="0" borderId="4" xfId="0" applyNumberFormat="1" applyFont="1" applyFill="1" applyBorder="1" applyAlignment="1">
      <alignment horizontal="center"/>
    </xf>
    <xf numFmtId="4" fontId="5" fillId="0" borderId="4" xfId="0" applyNumberFormat="1" applyFont="1" applyFill="1" applyBorder="1" applyAlignment="1">
      <alignment horizontal="right"/>
    </xf>
    <xf numFmtId="4" fontId="6" fillId="0" borderId="2" xfId="0" applyNumberFormat="1" applyFont="1" applyFill="1" applyBorder="1" applyAlignment="1">
      <alignment horizontal="center"/>
    </xf>
    <xf numFmtId="4" fontId="5" fillId="0" borderId="2" xfId="0" applyNumberFormat="1" applyFont="1" applyFill="1" applyBorder="1" applyAlignment="1">
      <alignment horizontal="right"/>
    </xf>
    <xf numFmtId="0" fontId="6" fillId="0" borderId="8" xfId="0" applyFont="1" applyFill="1" applyBorder="1"/>
    <xf numFmtId="0" fontId="5" fillId="0" borderId="7" xfId="0" applyFont="1" applyFill="1" applyBorder="1"/>
    <xf numFmtId="1" fontId="6" fillId="0" borderId="1" xfId="0" applyNumberFormat="1" applyFont="1" applyFill="1" applyBorder="1" applyAlignment="1">
      <alignment horizontal="center"/>
    </xf>
    <xf numFmtId="4" fontId="6" fillId="0" borderId="1" xfId="0" applyNumberFormat="1" applyFont="1" applyFill="1" applyBorder="1" applyAlignment="1">
      <alignment horizontal="center"/>
    </xf>
    <xf numFmtId="4" fontId="5" fillId="0" borderId="1" xfId="0" applyNumberFormat="1" applyFont="1" applyFill="1" applyBorder="1" applyAlignment="1">
      <alignment horizontal="right"/>
    </xf>
    <xf numFmtId="4" fontId="6" fillId="0" borderId="4" xfId="0" applyNumberFormat="1" applyFont="1" applyFill="1" applyBorder="1" applyAlignment="1">
      <alignment horizontal="right"/>
    </xf>
    <xf numFmtId="0" fontId="6" fillId="0" borderId="12" xfId="0" applyFont="1" applyFill="1" applyBorder="1" applyAlignment="1">
      <alignment horizontal="right"/>
    </xf>
    <xf numFmtId="3" fontId="6" fillId="0" borderId="3" xfId="0" applyNumberFormat="1" applyFont="1" applyFill="1" applyBorder="1" applyAlignment="1">
      <alignment horizontal="center"/>
    </xf>
    <xf numFmtId="0" fontId="6" fillId="0" borderId="7" xfId="0" applyFont="1" applyFill="1" applyBorder="1" applyAlignment="1">
      <alignment horizontal="right"/>
    </xf>
    <xf numFmtId="165" fontId="6" fillId="0" borderId="3" xfId="0" applyNumberFormat="1" applyFont="1" applyFill="1" applyBorder="1" applyAlignment="1">
      <alignment horizontal="center"/>
    </xf>
    <xf numFmtId="2" fontId="6" fillId="0" borderId="4" xfId="0" applyNumberFormat="1" applyFont="1" applyFill="1" applyBorder="1" applyAlignment="1">
      <alignment horizontal="center"/>
    </xf>
    <xf numFmtId="0" fontId="6" fillId="0" borderId="6" xfId="0" applyFont="1" applyFill="1" applyBorder="1"/>
    <xf numFmtId="164" fontId="6" fillId="0" borderId="3" xfId="0" applyNumberFormat="1" applyFont="1" applyFill="1" applyBorder="1" applyAlignment="1">
      <alignment horizontal="center"/>
    </xf>
    <xf numFmtId="0" fontId="6" fillId="0" borderId="3" xfId="0" applyFont="1" applyFill="1" applyBorder="1"/>
    <xf numFmtId="0" fontId="6" fillId="0" borderId="4" xfId="0" applyFont="1" applyFill="1" applyBorder="1"/>
    <xf numFmtId="0" fontId="6" fillId="0" borderId="14" xfId="0" applyFont="1" applyFill="1" applyBorder="1"/>
    <xf numFmtId="3" fontId="6" fillId="0" borderId="4" xfId="0" applyNumberFormat="1" applyFont="1" applyFill="1" applyBorder="1" applyAlignment="1">
      <alignment horizontal="center"/>
    </xf>
    <xf numFmtId="2" fontId="6" fillId="0" borderId="1" xfId="0" applyNumberFormat="1" applyFont="1" applyFill="1" applyBorder="1" applyAlignment="1">
      <alignment horizontal="center"/>
    </xf>
    <xf numFmtId="0" fontId="6" fillId="0" borderId="5" xfId="0" applyFont="1" applyFill="1" applyBorder="1"/>
    <xf numFmtId="0" fontId="6" fillId="0" borderId="4" xfId="0" applyFont="1" applyFill="1" applyBorder="1" applyAlignment="1">
      <alignment horizontal="right"/>
    </xf>
    <xf numFmtId="4" fontId="5" fillId="0" borderId="8" xfId="0" applyNumberFormat="1" applyFont="1" applyFill="1" applyBorder="1" applyAlignment="1">
      <alignment horizontal="right"/>
    </xf>
    <xf numFmtId="4" fontId="6" fillId="0" borderId="3" xfId="0" applyNumberFormat="1" applyFont="1" applyFill="1" applyBorder="1"/>
    <xf numFmtId="165" fontId="6" fillId="0" borderId="4" xfId="0" applyNumberFormat="1" applyFont="1" applyFill="1" applyBorder="1" applyAlignment="1">
      <alignment horizontal="center"/>
    </xf>
    <xf numFmtId="4" fontId="6" fillId="0" borderId="1" xfId="0" applyNumberFormat="1" applyFont="1" applyFill="1" applyBorder="1" applyAlignment="1">
      <alignment horizontal="right"/>
    </xf>
    <xf numFmtId="2" fontId="6" fillId="0" borderId="4" xfId="0" applyNumberFormat="1" applyFont="1" applyFill="1" applyBorder="1" applyAlignment="1">
      <alignment horizontal="right"/>
    </xf>
    <xf numFmtId="2" fontId="6" fillId="0" borderId="3" xfId="0" applyNumberFormat="1" applyFont="1" applyFill="1" applyBorder="1"/>
    <xf numFmtId="170" fontId="6" fillId="0" borderId="7" xfId="0" applyNumberFormat="1" applyFont="1" applyFill="1" applyBorder="1" applyAlignment="1">
      <alignment horizontal="left"/>
    </xf>
    <xf numFmtId="170" fontId="6" fillId="0" borderId="3" xfId="0" applyNumberFormat="1" applyFont="1" applyFill="1" applyBorder="1" applyAlignment="1">
      <alignment horizontal="left"/>
    </xf>
    <xf numFmtId="170" fontId="5" fillId="0" borderId="3" xfId="0" applyNumberFormat="1" applyFont="1" applyFill="1" applyBorder="1" applyAlignment="1">
      <alignment horizontal="left"/>
    </xf>
    <xf numFmtId="170" fontId="6" fillId="0" borderId="4" xfId="0" applyNumberFormat="1" applyFont="1" applyFill="1" applyBorder="1" applyAlignment="1">
      <alignment horizontal="left"/>
    </xf>
    <xf numFmtId="170" fontId="6" fillId="0" borderId="13" xfId="0" applyNumberFormat="1" applyFont="1" applyFill="1" applyBorder="1" applyAlignment="1">
      <alignment horizontal="left"/>
    </xf>
    <xf numFmtId="0" fontId="6" fillId="0" borderId="14" xfId="0" applyFont="1" applyFill="1" applyBorder="1" applyAlignment="1">
      <alignment horizontal="center"/>
    </xf>
    <xf numFmtId="4" fontId="6" fillId="0" borderId="8" xfId="0" applyNumberFormat="1" applyFont="1" applyFill="1" applyBorder="1" applyAlignment="1">
      <alignment horizontal="center"/>
    </xf>
    <xf numFmtId="2" fontId="6" fillId="0" borderId="8" xfId="0" applyNumberFormat="1" applyFont="1" applyFill="1" applyBorder="1" applyAlignment="1">
      <alignment horizontal="center"/>
    </xf>
    <xf numFmtId="4" fontId="6" fillId="0" borderId="4" xfId="12" applyNumberFormat="1" applyFont="1" applyFill="1" applyBorder="1" applyAlignment="1">
      <alignment horizontal="center" vertical="center" wrapText="1"/>
    </xf>
    <xf numFmtId="3" fontId="6" fillId="0" borderId="4" xfId="12" applyNumberFormat="1" applyFont="1" applyFill="1" applyBorder="1" applyAlignment="1">
      <alignment horizontal="center" vertical="center" wrapText="1"/>
    </xf>
    <xf numFmtId="4" fontId="6" fillId="0" borderId="4" xfId="12" applyNumberFormat="1" applyFont="1" applyFill="1" applyBorder="1" applyAlignment="1">
      <alignment horizontal="right" vertical="center" wrapText="1"/>
    </xf>
    <xf numFmtId="4" fontId="5" fillId="0" borderId="4" xfId="12" applyNumberFormat="1" applyFont="1" applyFill="1" applyBorder="1" applyAlignment="1">
      <alignment horizontal="right" vertical="center" wrapText="1"/>
    </xf>
    <xf numFmtId="170" fontId="6" fillId="0" borderId="3" xfId="0" applyNumberFormat="1" applyFont="1" applyFill="1" applyBorder="1"/>
    <xf numFmtId="170" fontId="6" fillId="0" borderId="4" xfId="0" applyNumberFormat="1" applyFont="1" applyFill="1" applyBorder="1"/>
    <xf numFmtId="3" fontId="6" fillId="0" borderId="1" xfId="0" applyNumberFormat="1" applyFont="1" applyFill="1" applyBorder="1" applyAlignment="1">
      <alignment horizontal="center"/>
    </xf>
    <xf numFmtId="1" fontId="6" fillId="0" borderId="8" xfId="0" applyNumberFormat="1" applyFont="1" applyFill="1" applyBorder="1" applyAlignment="1">
      <alignment horizontal="center"/>
    </xf>
    <xf numFmtId="4" fontId="6" fillId="0" borderId="14" xfId="0" applyNumberFormat="1" applyFont="1" applyFill="1" applyBorder="1" applyAlignment="1">
      <alignment horizontal="center"/>
    </xf>
    <xf numFmtId="0" fontId="6" fillId="0" borderId="0" xfId="12" applyFont="1"/>
    <xf numFmtId="0" fontId="6" fillId="0" borderId="1" xfId="12" applyFont="1" applyFill="1" applyBorder="1" applyAlignment="1">
      <alignment horizontal="center"/>
    </xf>
    <xf numFmtId="0" fontId="6" fillId="0" borderId="1" xfId="12" applyFont="1" applyFill="1" applyBorder="1" applyAlignment="1">
      <alignment horizontal="right"/>
    </xf>
    <xf numFmtId="0" fontId="6" fillId="0" borderId="2" xfId="12" applyFont="1" applyFill="1" applyBorder="1" applyAlignment="1">
      <alignment horizontal="center"/>
    </xf>
    <xf numFmtId="1" fontId="6" fillId="0" borderId="2" xfId="12" applyNumberFormat="1" applyFont="1" applyFill="1" applyBorder="1" applyAlignment="1">
      <alignment horizontal="center"/>
    </xf>
    <xf numFmtId="2" fontId="6" fillId="0" borderId="2" xfId="12" applyNumberFormat="1" applyFont="1" applyFill="1" applyBorder="1" applyAlignment="1">
      <alignment horizontal="center"/>
    </xf>
    <xf numFmtId="4" fontId="6" fillId="0" borderId="2" xfId="12" applyNumberFormat="1" applyFont="1" applyFill="1" applyBorder="1" applyAlignment="1">
      <alignment horizontal="right"/>
    </xf>
    <xf numFmtId="2" fontId="6" fillId="0" borderId="2" xfId="12" applyNumberFormat="1" applyFont="1" applyFill="1" applyBorder="1" applyAlignment="1">
      <alignment horizontal="right"/>
    </xf>
    <xf numFmtId="0" fontId="6" fillId="0" borderId="3" xfId="12" applyFont="1" applyFill="1" applyBorder="1" applyAlignment="1">
      <alignment horizontal="center"/>
    </xf>
    <xf numFmtId="1" fontId="6" fillId="0" borderId="3" xfId="12" applyNumberFormat="1" applyFont="1" applyFill="1" applyBorder="1" applyAlignment="1">
      <alignment horizontal="center"/>
    </xf>
    <xf numFmtId="4" fontId="6" fillId="0" borderId="3" xfId="12" applyNumberFormat="1" applyFont="1" applyFill="1" applyBorder="1" applyAlignment="1">
      <alignment horizontal="center"/>
    </xf>
    <xf numFmtId="4" fontId="5" fillId="0" borderId="3" xfId="12" applyNumberFormat="1" applyFont="1" applyFill="1" applyBorder="1" applyAlignment="1">
      <alignment horizontal="right"/>
    </xf>
    <xf numFmtId="4" fontId="6" fillId="0" borderId="3" xfId="12" applyNumberFormat="1" applyFont="1" applyFill="1" applyBorder="1" applyAlignment="1">
      <alignment horizontal="right"/>
    </xf>
    <xf numFmtId="4" fontId="6" fillId="0" borderId="2" xfId="12" applyNumberFormat="1" applyFont="1" applyFill="1" applyBorder="1" applyAlignment="1">
      <alignment horizontal="center"/>
    </xf>
    <xf numFmtId="2" fontId="5" fillId="0" borderId="3" xfId="12" applyNumberFormat="1" applyFont="1" applyFill="1" applyBorder="1" applyAlignment="1">
      <alignment horizontal="right"/>
    </xf>
    <xf numFmtId="2" fontId="6" fillId="0" borderId="3" xfId="12" applyNumberFormat="1" applyFont="1" applyFill="1" applyBorder="1" applyAlignment="1">
      <alignment horizontal="right"/>
    </xf>
    <xf numFmtId="1" fontId="6" fillId="0" borderId="1" xfId="12" applyNumberFormat="1" applyFont="1" applyFill="1" applyBorder="1" applyAlignment="1">
      <alignment horizontal="center"/>
    </xf>
    <xf numFmtId="4" fontId="6" fillId="0" borderId="1" xfId="12" applyNumberFormat="1" applyFont="1" applyFill="1" applyBorder="1" applyAlignment="1">
      <alignment horizontal="center"/>
    </xf>
    <xf numFmtId="4" fontId="6" fillId="0" borderId="1" xfId="12" applyNumberFormat="1" applyFont="1" applyFill="1" applyBorder="1" applyAlignment="1">
      <alignment horizontal="right"/>
    </xf>
    <xf numFmtId="2" fontId="6" fillId="0" borderId="1" xfId="12" applyNumberFormat="1" applyFont="1" applyFill="1" applyBorder="1" applyAlignment="1">
      <alignment horizontal="right"/>
    </xf>
    <xf numFmtId="0" fontId="6" fillId="0" borderId="4" xfId="12" applyFont="1" applyFill="1" applyBorder="1" applyAlignment="1">
      <alignment horizontal="center"/>
    </xf>
    <xf numFmtId="1" fontId="6" fillId="0" borderId="4" xfId="12" applyNumberFormat="1" applyFont="1" applyFill="1" applyBorder="1" applyAlignment="1">
      <alignment horizontal="center"/>
    </xf>
    <xf numFmtId="4" fontId="6" fillId="0" borderId="4" xfId="12" applyNumberFormat="1" applyFont="1" applyFill="1" applyBorder="1" applyAlignment="1">
      <alignment horizontal="center"/>
    </xf>
    <xf numFmtId="4" fontId="6" fillId="0" borderId="4" xfId="12" applyNumberFormat="1" applyFont="1" applyFill="1" applyBorder="1" applyAlignment="1">
      <alignment horizontal="right"/>
    </xf>
    <xf numFmtId="0" fontId="6" fillId="0" borderId="0" xfId="12" applyFont="1" applyFill="1"/>
    <xf numFmtId="0" fontId="6" fillId="0" borderId="0" xfId="12" applyFont="1" applyFill="1" applyAlignment="1">
      <alignment horizontal="right"/>
    </xf>
    <xf numFmtId="170" fontId="6" fillId="0" borderId="3" xfId="12" applyNumberFormat="1" applyFont="1" applyFill="1" applyBorder="1" applyAlignment="1">
      <alignment horizontal="left"/>
    </xf>
    <xf numFmtId="170" fontId="6" fillId="0" borderId="4" xfId="12" applyNumberFormat="1" applyFont="1" applyFill="1" applyBorder="1" applyAlignment="1">
      <alignment horizontal="left"/>
    </xf>
    <xf numFmtId="170" fontId="4" fillId="12" borderId="1" xfId="0" applyNumberFormat="1" applyFont="1" applyFill="1" applyBorder="1" applyAlignment="1">
      <alignment horizontal="center" vertical="center"/>
    </xf>
    <xf numFmtId="170" fontId="7" fillId="0" borderId="0" xfId="0" applyNumberFormat="1" applyFont="1" applyFill="1" applyBorder="1" applyAlignment="1" applyProtection="1"/>
    <xf numFmtId="0" fontId="5" fillId="2" borderId="4" xfId="0" applyFont="1" applyFill="1" applyBorder="1" applyAlignment="1">
      <alignment vertical="center"/>
    </xf>
    <xf numFmtId="2" fontId="5" fillId="0" borderId="4" xfId="0" applyNumberFormat="1" applyFont="1" applyFill="1" applyBorder="1" applyAlignment="1" applyProtection="1">
      <alignment horizontal="right"/>
    </xf>
    <xf numFmtId="0" fontId="6" fillId="2" borderId="4" xfId="0" applyFont="1" applyFill="1" applyBorder="1" applyAlignment="1">
      <alignment vertical="center"/>
    </xf>
    <xf numFmtId="0" fontId="6" fillId="0" borderId="4" xfId="0" applyNumberFormat="1" applyFont="1" applyFill="1" applyBorder="1" applyAlignment="1" applyProtection="1">
      <alignment horizontal="center"/>
    </xf>
    <xf numFmtId="0" fontId="10" fillId="0" borderId="0" xfId="0" applyNumberFormat="1" applyFont="1" applyFill="1" applyBorder="1" applyAlignment="1" applyProtection="1"/>
    <xf numFmtId="0" fontId="14" fillId="0" borderId="10" xfId="11" applyNumberFormat="1" applyFont="1" applyBorder="1" applyAlignment="1">
      <alignment horizontal="left" vertical="center" indent="1"/>
    </xf>
    <xf numFmtId="4" fontId="18" fillId="0" borderId="9" xfId="12" applyNumberFormat="1" applyFont="1" applyFill="1" applyBorder="1" applyAlignment="1">
      <alignment horizontal="left" vertical="center" wrapText="1" indent="1"/>
    </xf>
    <xf numFmtId="4" fontId="18" fillId="0" borderId="9" xfId="11" applyNumberFormat="1" applyFont="1" applyFill="1" applyBorder="1" applyAlignment="1" applyProtection="1">
      <alignment horizontal="left" indent="1"/>
    </xf>
    <xf numFmtId="0" fontId="13" fillId="0" borderId="9" xfId="11" applyNumberFormat="1" applyFont="1" applyFill="1" applyBorder="1" applyAlignment="1">
      <alignment horizontal="right" vertical="center" indent="1"/>
    </xf>
    <xf numFmtId="0" fontId="13" fillId="0" borderId="9" xfId="11" applyNumberFormat="1" applyFont="1" applyBorder="1" applyAlignment="1">
      <alignment horizontal="right" vertical="center" wrapText="1"/>
    </xf>
    <xf numFmtId="2" fontId="13" fillId="0" borderId="9" xfId="11" applyNumberFormat="1" applyFont="1" applyFill="1" applyBorder="1" applyAlignment="1" applyProtection="1"/>
    <xf numFmtId="0" fontId="13" fillId="0" borderId="1" xfId="11" applyNumberFormat="1" applyFont="1" applyFill="1" applyBorder="1" applyAlignment="1" applyProtection="1">
      <alignment horizontal="center"/>
    </xf>
    <xf numFmtId="2" fontId="13" fillId="0" borderId="1" xfId="11" applyNumberFormat="1" applyFont="1" applyFill="1" applyBorder="1" applyAlignment="1" applyProtection="1">
      <alignment horizontal="center"/>
    </xf>
    <xf numFmtId="0" fontId="13" fillId="0" borderId="9" xfId="12" applyNumberFormat="1" applyFont="1" applyBorder="1" applyAlignment="1">
      <alignment horizontal="right" vertical="center" wrapText="1"/>
    </xf>
    <xf numFmtId="0" fontId="13" fillId="0" borderId="9" xfId="12" applyNumberFormat="1" applyFont="1" applyFill="1" applyBorder="1" applyAlignment="1" applyProtection="1">
      <alignment horizontal="center"/>
    </xf>
    <xf numFmtId="12" fontId="13" fillId="0" borderId="9" xfId="12" applyNumberFormat="1" applyFont="1" applyFill="1" applyBorder="1" applyAlignment="1" applyProtection="1">
      <alignment horizontal="center"/>
    </xf>
    <xf numFmtId="0" fontId="13" fillId="0" borderId="9" xfId="12" applyNumberFormat="1" applyFont="1" applyFill="1" applyBorder="1" applyAlignment="1">
      <alignment horizontal="right" vertical="center" wrapText="1"/>
    </xf>
    <xf numFmtId="1" fontId="6" fillId="0" borderId="6" xfId="0" applyNumberFormat="1" applyFont="1" applyFill="1" applyBorder="1" applyAlignment="1">
      <alignment horizontal="center"/>
    </xf>
    <xf numFmtId="4" fontId="5" fillId="0" borderId="3" xfId="0" applyNumberFormat="1" applyFont="1" applyFill="1" applyBorder="1" applyAlignment="1">
      <alignment horizontal="center"/>
    </xf>
    <xf numFmtId="171" fontId="6" fillId="0" borderId="3" xfId="0" applyNumberFormat="1" applyFont="1" applyFill="1" applyBorder="1" applyAlignment="1">
      <alignment horizontal="center"/>
    </xf>
    <xf numFmtId="170" fontId="6" fillId="0" borderId="7" xfId="12" applyNumberFormat="1" applyFont="1" applyFill="1" applyBorder="1" applyAlignment="1">
      <alignment horizontal="left"/>
    </xf>
    <xf numFmtId="171" fontId="6" fillId="0" borderId="3" xfId="12" applyNumberFormat="1" applyFont="1" applyFill="1" applyBorder="1" applyAlignment="1">
      <alignment horizontal="center"/>
    </xf>
    <xf numFmtId="172" fontId="5" fillId="14" borderId="1" xfId="0" applyNumberFormat="1" applyFont="1" applyFill="1" applyBorder="1" applyAlignment="1">
      <alignment horizontal="left"/>
    </xf>
    <xf numFmtId="172" fontId="5" fillId="14" borderId="11" xfId="0" applyNumberFormat="1" applyFont="1" applyFill="1" applyBorder="1" applyAlignment="1">
      <alignment horizontal="left"/>
    </xf>
    <xf numFmtId="172" fontId="6" fillId="14" borderId="7" xfId="0" applyNumberFormat="1" applyFont="1" applyFill="1" applyBorder="1" applyAlignment="1">
      <alignment horizontal="left"/>
    </xf>
    <xf numFmtId="172" fontId="5" fillId="14" borderId="5" xfId="0" applyNumberFormat="1" applyFont="1" applyFill="1" applyBorder="1" applyAlignment="1">
      <alignment horizontal="left"/>
    </xf>
    <xf numFmtId="4" fontId="6" fillId="0" borderId="2" xfId="12" applyNumberFormat="1" applyFont="1" applyFill="1" applyBorder="1" applyAlignment="1">
      <alignment horizontal="center" vertical="center" wrapText="1"/>
    </xf>
    <xf numFmtId="3" fontId="6" fillId="0" borderId="2" xfId="12" applyNumberFormat="1" applyFont="1" applyFill="1" applyBorder="1" applyAlignment="1">
      <alignment horizontal="center" vertical="center" wrapText="1"/>
    </xf>
    <xf numFmtId="4" fontId="6" fillId="0" borderId="2" xfId="12" applyNumberFormat="1" applyFont="1" applyFill="1" applyBorder="1" applyAlignment="1">
      <alignment horizontal="right" vertical="center" wrapText="1"/>
    </xf>
    <xf numFmtId="4" fontId="6" fillId="0" borderId="3" xfId="12" applyNumberFormat="1" applyFont="1" applyFill="1" applyBorder="1" applyAlignment="1">
      <alignment horizontal="center" vertical="center" wrapText="1"/>
    </xf>
    <xf numFmtId="3" fontId="6" fillId="0" borderId="3" xfId="12" applyNumberFormat="1" applyFont="1" applyFill="1" applyBorder="1" applyAlignment="1">
      <alignment horizontal="center" vertical="center" wrapText="1"/>
    </xf>
    <xf numFmtId="4" fontId="6" fillId="0" borderId="3" xfId="12" applyNumberFormat="1" applyFont="1" applyFill="1" applyBorder="1" applyAlignment="1">
      <alignment horizontal="right" vertical="center" wrapText="1"/>
    </xf>
    <xf numFmtId="4" fontId="5" fillId="0" borderId="3" xfId="12" applyNumberFormat="1" applyFont="1" applyFill="1" applyBorder="1" applyAlignment="1">
      <alignment horizontal="right" vertical="center" wrapText="1"/>
    </xf>
    <xf numFmtId="1" fontId="6" fillId="0" borderId="2" xfId="12" applyNumberFormat="1" applyFont="1" applyFill="1" applyBorder="1" applyAlignment="1">
      <alignment horizontal="center" vertical="center" wrapText="1"/>
    </xf>
    <xf numFmtId="4" fontId="5" fillId="0" borderId="2" xfId="12" applyNumberFormat="1" applyFont="1" applyFill="1" applyBorder="1" applyAlignment="1">
      <alignment horizontal="right" vertical="center" wrapText="1"/>
    </xf>
    <xf numFmtId="2" fontId="6" fillId="0" borderId="2" xfId="0" applyNumberFormat="1" applyFont="1" applyFill="1" applyBorder="1"/>
    <xf numFmtId="0" fontId="6" fillId="0" borderId="2" xfId="0" applyFont="1" applyFill="1" applyBorder="1"/>
    <xf numFmtId="170" fontId="8" fillId="0" borderId="7" xfId="0" applyNumberFormat="1" applyFont="1" applyFill="1" applyBorder="1" applyAlignment="1">
      <alignment horizontal="left"/>
    </xf>
    <xf numFmtId="170" fontId="8" fillId="0" borderId="13" xfId="0" applyNumberFormat="1" applyFont="1" applyFill="1" applyBorder="1" applyAlignment="1">
      <alignment horizontal="left"/>
    </xf>
    <xf numFmtId="170" fontId="6" fillId="0" borderId="7" xfId="0" quotePrefix="1" applyNumberFormat="1" applyFont="1" applyFill="1" applyBorder="1" applyAlignment="1">
      <alignment horizontal="left"/>
    </xf>
    <xf numFmtId="0" fontId="5" fillId="0" borderId="7" xfId="0" applyFont="1" applyFill="1" applyBorder="1" applyAlignment="1">
      <alignment horizontal="left"/>
    </xf>
    <xf numFmtId="166" fontId="6" fillId="0" borderId="7" xfId="0" applyNumberFormat="1" applyFont="1" applyFill="1" applyBorder="1" applyAlignment="1">
      <alignment horizontal="left"/>
    </xf>
    <xf numFmtId="166" fontId="6" fillId="0" borderId="13" xfId="0" applyNumberFormat="1" applyFont="1" applyFill="1" applyBorder="1" applyAlignment="1">
      <alignment horizontal="left"/>
    </xf>
    <xf numFmtId="172" fontId="6" fillId="14" borderId="13" xfId="0" applyNumberFormat="1" applyFont="1" applyFill="1" applyBorder="1" applyAlignment="1">
      <alignment horizontal="left"/>
    </xf>
    <xf numFmtId="0" fontId="5" fillId="0" borderId="18" xfId="0" applyFont="1" applyFill="1" applyBorder="1" applyAlignment="1">
      <alignment horizontal="left"/>
    </xf>
    <xf numFmtId="0" fontId="6" fillId="0" borderId="18" xfId="0" applyFont="1" applyFill="1" applyBorder="1"/>
    <xf numFmtId="0" fontId="6" fillId="0" borderId="18" xfId="0" applyFont="1" applyFill="1" applyBorder="1" applyAlignment="1">
      <alignment horizontal="center"/>
    </xf>
    <xf numFmtId="0" fontId="5" fillId="0" borderId="18" xfId="0" applyFont="1" applyFill="1" applyBorder="1"/>
    <xf numFmtId="2" fontId="6" fillId="0" borderId="18" xfId="0" applyNumberFormat="1" applyFont="1" applyFill="1" applyBorder="1"/>
    <xf numFmtId="0" fontId="6" fillId="0" borderId="18" xfId="0" applyFont="1" applyFill="1" applyBorder="1" applyAlignment="1">
      <alignment horizontal="right"/>
    </xf>
    <xf numFmtId="0" fontId="5" fillId="0" borderId="19" xfId="0" applyFont="1" applyFill="1" applyBorder="1" applyAlignment="1">
      <alignment horizontal="left"/>
    </xf>
    <xf numFmtId="0" fontId="6" fillId="0" borderId="19" xfId="0" applyFont="1" applyFill="1" applyBorder="1"/>
    <xf numFmtId="0" fontId="6" fillId="0" borderId="19" xfId="0" applyFont="1" applyFill="1" applyBorder="1" applyAlignment="1">
      <alignment horizontal="center"/>
    </xf>
    <xf numFmtId="0" fontId="5" fillId="0" borderId="19" xfId="0" applyFont="1" applyFill="1" applyBorder="1"/>
    <xf numFmtId="2" fontId="6" fillId="0" borderId="19" xfId="0" applyNumberFormat="1" applyFont="1" applyFill="1" applyBorder="1"/>
    <xf numFmtId="0" fontId="6" fillId="0" borderId="19" xfId="0" applyFont="1" applyFill="1" applyBorder="1" applyAlignment="1">
      <alignment horizontal="right"/>
    </xf>
    <xf numFmtId="0" fontId="5" fillId="0" borderId="20" xfId="0" applyFont="1" applyFill="1" applyBorder="1" applyAlignment="1">
      <alignment horizontal="left" vertical="center" wrapText="1"/>
    </xf>
    <xf numFmtId="0" fontId="5" fillId="0" borderId="21" xfId="0" applyFont="1" applyFill="1" applyBorder="1" applyAlignment="1">
      <alignment horizontal="left"/>
    </xf>
    <xf numFmtId="0" fontId="6" fillId="0" borderId="22" xfId="0" applyFont="1" applyFill="1" applyBorder="1" applyAlignment="1">
      <alignment horizontal="right"/>
    </xf>
    <xf numFmtId="0" fontId="5" fillId="0" borderId="23" xfId="0" applyFont="1" applyFill="1" applyBorder="1" applyAlignment="1">
      <alignment horizontal="left"/>
    </xf>
    <xf numFmtId="0" fontId="6" fillId="0" borderId="24" xfId="0" applyFont="1" applyFill="1" applyBorder="1" applyAlignment="1">
      <alignment horizontal="right"/>
    </xf>
    <xf numFmtId="2" fontId="6" fillId="12" borderId="1" xfId="0" applyNumberFormat="1" applyFont="1" applyFill="1" applyBorder="1" applyAlignment="1">
      <alignment horizontal="center" vertical="center"/>
    </xf>
    <xf numFmtId="0" fontId="6" fillId="0" borderId="25" xfId="0" applyFont="1" applyFill="1" applyBorder="1"/>
    <xf numFmtId="0" fontId="5" fillId="0" borderId="26" xfId="0" applyFont="1" applyFill="1" applyBorder="1"/>
    <xf numFmtId="0" fontId="6" fillId="0" borderId="25" xfId="0" applyFont="1" applyFill="1" applyBorder="1" applyAlignment="1">
      <alignment horizontal="right"/>
    </xf>
    <xf numFmtId="0" fontId="6" fillId="0" borderId="27" xfId="0" applyFont="1" applyFill="1" applyBorder="1" applyAlignment="1">
      <alignment horizontal="right"/>
    </xf>
    <xf numFmtId="0" fontId="6" fillId="0" borderId="28" xfId="0" applyFont="1" applyFill="1" applyBorder="1"/>
    <xf numFmtId="0" fontId="6" fillId="0" borderId="29" xfId="0" applyFont="1" applyFill="1" applyBorder="1"/>
    <xf numFmtId="0" fontId="6" fillId="0" borderId="30" xfId="0" applyFont="1" applyFill="1" applyBorder="1" applyAlignment="1">
      <alignment horizontal="right"/>
    </xf>
    <xf numFmtId="0" fontId="6" fillId="0" borderId="27" xfId="0" applyFont="1" applyFill="1" applyBorder="1"/>
    <xf numFmtId="0" fontId="6" fillId="0" borderId="30" xfId="0" applyFont="1" applyFill="1" applyBorder="1"/>
    <xf numFmtId="0" fontId="5" fillId="0" borderId="7" xfId="0" applyFont="1" applyFill="1" applyBorder="1" applyAlignment="1">
      <alignment horizontal="left" vertical="center" wrapText="1"/>
    </xf>
    <xf numFmtId="0" fontId="5" fillId="0" borderId="31" xfId="0" applyFont="1" applyFill="1" applyBorder="1"/>
    <xf numFmtId="0" fontId="6" fillId="0" borderId="32" xfId="0" applyFont="1" applyFill="1" applyBorder="1"/>
    <xf numFmtId="0" fontId="6" fillId="0" borderId="32" xfId="0" applyFont="1" applyFill="1" applyBorder="1" applyAlignment="1">
      <alignment horizontal="right"/>
    </xf>
    <xf numFmtId="0" fontId="6" fillId="0" borderId="33" xfId="0" applyFont="1" applyFill="1" applyBorder="1"/>
    <xf numFmtId="0" fontId="6" fillId="0" borderId="34" xfId="0" applyFont="1" applyFill="1" applyBorder="1" applyAlignment="1">
      <alignment horizontal="right"/>
    </xf>
    <xf numFmtId="0" fontId="6" fillId="0" borderId="35" xfId="0" applyFont="1" applyFill="1" applyBorder="1"/>
    <xf numFmtId="0" fontId="6" fillId="0" borderId="36" xfId="0" applyFont="1" applyFill="1" applyBorder="1" applyAlignment="1">
      <alignment horizontal="right"/>
    </xf>
    <xf numFmtId="0" fontId="6" fillId="0" borderId="34" xfId="0" applyFont="1" applyFill="1" applyBorder="1"/>
    <xf numFmtId="0" fontId="5" fillId="0" borderId="34" xfId="0" applyFont="1" applyFill="1" applyBorder="1" applyAlignment="1">
      <alignment horizontal="right"/>
    </xf>
    <xf numFmtId="0" fontId="6" fillId="0" borderId="34" xfId="0" applyFont="1" applyFill="1" applyBorder="1" applyAlignment="1">
      <alignment horizontal="left"/>
    </xf>
    <xf numFmtId="0" fontId="6" fillId="0" borderId="33" xfId="0" applyFont="1" applyFill="1" applyBorder="1" applyAlignment="1"/>
    <xf numFmtId="167" fontId="6" fillId="0" borderId="34" xfId="0" applyNumberFormat="1" applyFont="1" applyFill="1" applyBorder="1" applyAlignment="1">
      <alignment horizontal="left"/>
    </xf>
    <xf numFmtId="167" fontId="6" fillId="0" borderId="34" xfId="0" applyNumberFormat="1" applyFont="1" applyFill="1" applyBorder="1" applyAlignment="1">
      <alignment horizontal="right"/>
    </xf>
    <xf numFmtId="0" fontId="6" fillId="0" borderId="35" xfId="0" applyFont="1" applyFill="1" applyBorder="1" applyAlignment="1"/>
    <xf numFmtId="167" fontId="6" fillId="0" borderId="36" xfId="0" applyNumberFormat="1" applyFont="1" applyFill="1" applyBorder="1" applyAlignment="1">
      <alignment horizontal="right"/>
    </xf>
    <xf numFmtId="167" fontId="6" fillId="0" borderId="32" xfId="0" applyNumberFormat="1" applyFont="1" applyFill="1" applyBorder="1" applyAlignment="1">
      <alignment horizontal="left"/>
    </xf>
    <xf numFmtId="0" fontId="6" fillId="0" borderId="36" xfId="0" applyFont="1" applyFill="1" applyBorder="1"/>
    <xf numFmtId="4" fontId="5" fillId="0" borderId="31" xfId="12" applyNumberFormat="1" applyFont="1" applyFill="1" applyBorder="1" applyAlignment="1">
      <alignment horizontal="left" vertical="center"/>
    </xf>
    <xf numFmtId="4" fontId="5" fillId="0" borderId="32" xfId="12" applyNumberFormat="1" applyFont="1" applyFill="1" applyBorder="1" applyAlignment="1">
      <alignment horizontal="left" vertical="center"/>
    </xf>
    <xf numFmtId="4" fontId="6" fillId="0" borderId="32" xfId="12" applyNumberFormat="1" applyFont="1" applyFill="1" applyBorder="1" applyAlignment="1">
      <alignment horizontal="left" vertical="center"/>
    </xf>
    <xf numFmtId="4" fontId="6" fillId="0" borderId="33" xfId="12" applyNumberFormat="1" applyFont="1" applyFill="1" applyBorder="1" applyAlignment="1">
      <alignment horizontal="left" vertical="center"/>
    </xf>
    <xf numFmtId="4" fontId="5" fillId="0" borderId="34" xfId="12" applyNumberFormat="1" applyFont="1" applyFill="1" applyBorder="1" applyAlignment="1">
      <alignment horizontal="left" vertical="center"/>
    </xf>
    <xf numFmtId="4" fontId="6" fillId="0" borderId="35" xfId="12" applyNumberFormat="1" applyFont="1" applyFill="1" applyBorder="1" applyAlignment="1">
      <alignment horizontal="left" vertical="center"/>
    </xf>
    <xf numFmtId="4" fontId="5" fillId="0" borderId="36" xfId="12" applyNumberFormat="1" applyFont="1" applyFill="1" applyBorder="1" applyAlignment="1">
      <alignment horizontal="left" vertical="center"/>
    </xf>
    <xf numFmtId="0" fontId="5" fillId="0" borderId="37" xfId="0" applyFont="1" applyFill="1" applyBorder="1"/>
    <xf numFmtId="0" fontId="6" fillId="0" borderId="38" xfId="0" applyFont="1" applyFill="1" applyBorder="1"/>
    <xf numFmtId="0" fontId="5" fillId="0" borderId="33" xfId="0" applyFont="1" applyFill="1" applyBorder="1"/>
    <xf numFmtId="0" fontId="6" fillId="0" borderId="38" xfId="0" applyFont="1" applyFill="1" applyBorder="1" applyAlignment="1">
      <alignment horizontal="right"/>
    </xf>
    <xf numFmtId="0" fontId="6" fillId="0" borderId="33" xfId="0" applyFont="1" applyFill="1" applyBorder="1" applyAlignment="1">
      <alignment horizontal="right"/>
    </xf>
    <xf numFmtId="0" fontId="5" fillId="0" borderId="37" xfId="12" applyFont="1" applyFill="1" applyBorder="1"/>
    <xf numFmtId="0" fontId="6" fillId="0" borderId="38" xfId="12" applyFont="1" applyFill="1" applyBorder="1"/>
    <xf numFmtId="0" fontId="5" fillId="0" borderId="31" xfId="12" applyFont="1" applyFill="1" applyBorder="1"/>
    <xf numFmtId="0" fontId="6" fillId="0" borderId="32" xfId="12" applyFont="1" applyFill="1" applyBorder="1" applyAlignment="1">
      <alignment horizontal="right"/>
    </xf>
    <xf numFmtId="0" fontId="6" fillId="0" borderId="33" xfId="12" applyFont="1" applyFill="1" applyBorder="1"/>
    <xf numFmtId="0" fontId="6" fillId="0" borderId="34" xfId="12" applyFont="1" applyFill="1" applyBorder="1" applyAlignment="1">
      <alignment horizontal="right"/>
    </xf>
    <xf numFmtId="0" fontId="6" fillId="0" borderId="34" xfId="12" applyFont="1" applyFill="1" applyBorder="1"/>
    <xf numFmtId="0" fontId="6" fillId="0" borderId="38" xfId="12" applyFont="1" applyFill="1" applyBorder="1" applyAlignment="1">
      <alignment horizontal="right"/>
    </xf>
    <xf numFmtId="0" fontId="6" fillId="0" borderId="35" xfId="12" applyFont="1" applyFill="1" applyBorder="1"/>
    <xf numFmtId="0" fontId="6" fillId="0" borderId="36" xfId="12" applyFont="1" applyFill="1" applyBorder="1" applyAlignment="1">
      <alignment horizontal="right"/>
    </xf>
    <xf numFmtId="0" fontId="5" fillId="0" borderId="18" xfId="12" applyFont="1" applyFill="1" applyBorder="1" applyAlignment="1">
      <alignment horizontal="left"/>
    </xf>
    <xf numFmtId="0" fontId="6" fillId="0" borderId="18" xfId="12" applyFont="1" applyFill="1" applyBorder="1"/>
    <xf numFmtId="0" fontId="6" fillId="0" borderId="18" xfId="12" applyFont="1" applyFill="1" applyBorder="1" applyAlignment="1">
      <alignment horizontal="center"/>
    </xf>
    <xf numFmtId="0" fontId="5" fillId="0" borderId="18" xfId="12" applyFont="1" applyFill="1" applyBorder="1"/>
    <xf numFmtId="0" fontId="6" fillId="0" borderId="18" xfId="12" applyFont="1" applyFill="1" applyBorder="1" applyAlignment="1">
      <alignment horizontal="right"/>
    </xf>
    <xf numFmtId="0" fontId="5" fillId="0" borderId="19" xfId="12" applyFont="1" applyFill="1" applyBorder="1" applyAlignment="1">
      <alignment horizontal="left"/>
    </xf>
    <xf numFmtId="0" fontId="6" fillId="0" borderId="19" xfId="12" applyFont="1" applyFill="1" applyBorder="1"/>
    <xf numFmtId="0" fontId="6" fillId="0" borderId="19" xfId="12" applyFont="1" applyFill="1" applyBorder="1" applyAlignment="1">
      <alignment horizontal="center"/>
    </xf>
    <xf numFmtId="0" fontId="5" fillId="0" borderId="19" xfId="12" applyFont="1" applyFill="1" applyBorder="1"/>
    <xf numFmtId="0" fontId="6" fillId="0" borderId="19" xfId="12" applyFont="1" applyFill="1" applyBorder="1" applyAlignment="1">
      <alignment horizontal="right"/>
    </xf>
    <xf numFmtId="0" fontId="5" fillId="0" borderId="20" xfId="12" applyFont="1" applyFill="1" applyBorder="1" applyAlignment="1">
      <alignment horizontal="left" vertical="center" wrapText="1"/>
    </xf>
    <xf numFmtId="0" fontId="5" fillId="0" borderId="21" xfId="12" applyFont="1" applyFill="1" applyBorder="1" applyAlignment="1">
      <alignment horizontal="left"/>
    </xf>
    <xf numFmtId="0" fontId="6" fillId="0" borderId="22" xfId="12" applyFont="1" applyFill="1" applyBorder="1" applyAlignment="1">
      <alignment horizontal="right"/>
    </xf>
    <xf numFmtId="0" fontId="5" fillId="0" borderId="23" xfId="12" applyFont="1" applyFill="1" applyBorder="1" applyAlignment="1">
      <alignment horizontal="left"/>
    </xf>
    <xf numFmtId="0" fontId="6" fillId="0" borderId="24" xfId="12" applyFont="1" applyFill="1" applyBorder="1" applyAlignment="1">
      <alignment horizontal="right"/>
    </xf>
    <xf numFmtId="172" fontId="13" fillId="0" borderId="9" xfId="11" applyNumberFormat="1" applyFont="1" applyFill="1" applyBorder="1" applyAlignment="1" applyProtection="1"/>
    <xf numFmtId="172" fontId="13" fillId="0" borderId="9" xfId="11" applyNumberFormat="1" applyFont="1" applyFill="1" applyBorder="1" applyAlignment="1">
      <alignment horizontal="left" vertical="center"/>
    </xf>
    <xf numFmtId="172" fontId="13" fillId="0" borderId="10" xfId="11" applyNumberFormat="1" applyFont="1" applyBorder="1" applyAlignment="1">
      <alignment horizontal="left" vertical="center"/>
    </xf>
    <xf numFmtId="172" fontId="13" fillId="0" borderId="9" xfId="11" applyNumberFormat="1" applyFont="1" applyBorder="1" applyAlignment="1">
      <alignment horizontal="left" vertical="center"/>
    </xf>
    <xf numFmtId="2" fontId="18" fillId="0" borderId="1" xfId="11" applyNumberFormat="1" applyFont="1" applyFill="1" applyBorder="1" applyAlignment="1" applyProtection="1">
      <alignment horizontal="right" vertical="center"/>
    </xf>
    <xf numFmtId="0" fontId="14" fillId="0" borderId="10" xfId="11" applyNumberFormat="1" applyFont="1" applyFill="1" applyBorder="1" applyAlignment="1">
      <alignment horizontal="left" vertical="center" indent="1"/>
    </xf>
    <xf numFmtId="2" fontId="13" fillId="0" borderId="10" xfId="11" applyNumberFormat="1" applyFont="1" applyFill="1" applyBorder="1" applyAlignment="1" applyProtection="1">
      <alignment horizontal="center"/>
    </xf>
    <xf numFmtId="168" fontId="13" fillId="0" borderId="10" xfId="11" applyNumberFormat="1" applyFont="1" applyFill="1" applyBorder="1" applyAlignment="1" applyProtection="1">
      <alignment horizontal="center"/>
    </xf>
    <xf numFmtId="172" fontId="13" fillId="0" borderId="15" xfId="11" applyNumberFormat="1" applyFont="1" applyBorder="1" applyAlignment="1">
      <alignment horizontal="left" vertical="center"/>
    </xf>
    <xf numFmtId="0" fontId="13" fillId="0" borderId="15" xfId="11" applyNumberFormat="1" applyFont="1" applyBorder="1" applyAlignment="1">
      <alignment horizontal="right" vertical="center" wrapText="1"/>
    </xf>
    <xf numFmtId="0" fontId="13" fillId="0" borderId="15" xfId="11" applyFont="1" applyFill="1" applyBorder="1"/>
    <xf numFmtId="0" fontId="13" fillId="0" borderId="15" xfId="11" applyNumberFormat="1" applyFont="1" applyFill="1" applyBorder="1" applyAlignment="1" applyProtection="1">
      <alignment horizontal="center"/>
    </xf>
    <xf numFmtId="12" fontId="13" fillId="0" borderId="15" xfId="11" applyNumberFormat="1" applyFont="1" applyFill="1" applyBorder="1" applyAlignment="1" applyProtection="1">
      <alignment horizontal="center"/>
    </xf>
    <xf numFmtId="2" fontId="13" fillId="0" borderId="15" xfId="11" applyNumberFormat="1" applyFont="1" applyFill="1" applyBorder="1" applyAlignment="1" applyProtection="1">
      <alignment horizontal="center"/>
    </xf>
    <xf numFmtId="168" fontId="13" fillId="0" borderId="15" xfId="11" applyNumberFormat="1" applyFont="1" applyFill="1" applyBorder="1" applyAlignment="1" applyProtection="1">
      <alignment horizontal="center"/>
    </xf>
    <xf numFmtId="2" fontId="13" fillId="0" borderId="15" xfId="11" applyNumberFormat="1" applyFont="1" applyFill="1" applyBorder="1" applyAlignment="1" applyProtection="1">
      <alignment horizontal="right"/>
    </xf>
    <xf numFmtId="2" fontId="13" fillId="0" borderId="15" xfId="11" applyNumberFormat="1" applyFont="1" applyFill="1" applyBorder="1" applyAlignment="1" applyProtection="1"/>
    <xf numFmtId="0" fontId="13" fillId="0" borderId="8" xfId="11" applyNumberFormat="1" applyFont="1" applyFill="1" applyBorder="1" applyAlignment="1" applyProtection="1"/>
    <xf numFmtId="0" fontId="13" fillId="0" borderId="15" xfId="11" applyNumberFormat="1" applyFont="1" applyFill="1" applyBorder="1" applyAlignment="1">
      <alignment horizontal="right" vertical="center" indent="1"/>
    </xf>
    <xf numFmtId="172" fontId="13" fillId="0" borderId="15" xfId="11" applyNumberFormat="1" applyFont="1" applyFill="1" applyBorder="1" applyAlignment="1" applyProtection="1"/>
    <xf numFmtId="0" fontId="13" fillId="0" borderId="7" xfId="11" applyFont="1" applyFill="1" applyBorder="1"/>
    <xf numFmtId="0" fontId="13" fillId="0" borderId="8" xfId="11" applyNumberFormat="1" applyFont="1" applyFill="1" applyBorder="1" applyAlignment="1" applyProtection="1">
      <alignment horizontal="right"/>
    </xf>
    <xf numFmtId="172" fontId="5" fillId="2" borderId="4" xfId="0" applyNumberFormat="1" applyFont="1" applyFill="1" applyBorder="1" applyAlignment="1">
      <alignment horizontal="left" vertical="center"/>
    </xf>
    <xf numFmtId="172" fontId="6" fillId="2" borderId="4" xfId="0" applyNumberFormat="1" applyFont="1" applyFill="1" applyBorder="1" applyAlignment="1">
      <alignment horizontal="left" vertical="center"/>
    </xf>
    <xf numFmtId="0" fontId="3" fillId="2" borderId="18" xfId="0" applyNumberFormat="1" applyFont="1" applyFill="1" applyBorder="1" applyAlignment="1">
      <alignment vertical="center"/>
    </xf>
    <xf numFmtId="0" fontId="3" fillId="2" borderId="18" xfId="0" applyNumberFormat="1" applyFont="1" applyFill="1" applyBorder="1" applyAlignment="1" applyProtection="1">
      <alignment horizontal="center"/>
    </xf>
    <xf numFmtId="0" fontId="4" fillId="2" borderId="18" xfId="0" applyNumberFormat="1" applyFont="1" applyFill="1" applyBorder="1" applyAlignment="1">
      <alignment horizontal="center" vertical="center"/>
    </xf>
    <xf numFmtId="0" fontId="3" fillId="2" borderId="19" xfId="0" applyNumberFormat="1" applyFont="1" applyFill="1" applyBorder="1" applyAlignment="1" applyProtection="1"/>
    <xf numFmtId="0" fontId="3" fillId="2" borderId="19" xfId="0" applyNumberFormat="1" applyFont="1" applyFill="1" applyBorder="1" applyAlignment="1" applyProtection="1">
      <alignment horizontal="center"/>
    </xf>
    <xf numFmtId="0" fontId="10" fillId="2" borderId="20" xfId="0" applyNumberFormat="1" applyFont="1" applyFill="1" applyBorder="1" applyAlignment="1">
      <alignment vertical="top"/>
    </xf>
    <xf numFmtId="0" fontId="10" fillId="2" borderId="21" xfId="0" applyNumberFormat="1" applyFont="1" applyFill="1" applyBorder="1" applyAlignment="1">
      <alignment vertical="center"/>
    </xf>
    <xf numFmtId="0" fontId="3" fillId="2" borderId="22" xfId="0" applyNumberFormat="1" applyFont="1" applyFill="1" applyBorder="1" applyAlignment="1" applyProtection="1">
      <alignment horizontal="right" indent="1"/>
    </xf>
    <xf numFmtId="0" fontId="3" fillId="2" borderId="22" xfId="0" applyNumberFormat="1" applyFont="1" applyFill="1" applyBorder="1" applyAlignment="1">
      <alignment horizontal="left" vertical="center" indent="1"/>
    </xf>
    <xf numFmtId="0" fontId="10" fillId="2" borderId="23" xfId="0" applyNumberFormat="1" applyFont="1" applyFill="1" applyBorder="1" applyAlignment="1" applyProtection="1"/>
    <xf numFmtId="0" fontId="3" fillId="2" borderId="24" xfId="0" applyNumberFormat="1" applyFont="1" applyFill="1" applyBorder="1" applyAlignment="1" applyProtection="1">
      <alignment horizontal="right" indent="1"/>
    </xf>
    <xf numFmtId="0" fontId="6" fillId="12" borderId="1" xfId="0" applyFont="1" applyFill="1" applyBorder="1" applyAlignment="1">
      <alignment horizontal="center" vertical="center"/>
    </xf>
    <xf numFmtId="0" fontId="6" fillId="12" borderId="2" xfId="0" applyFont="1" applyFill="1" applyBorder="1" applyAlignment="1">
      <alignment horizontal="center" vertical="center"/>
    </xf>
    <xf numFmtId="0" fontId="6" fillId="12" borderId="1" xfId="12" applyFont="1" applyFill="1" applyBorder="1" applyAlignment="1">
      <alignment horizontal="center" vertical="center"/>
    </xf>
    <xf numFmtId="0" fontId="11" fillId="15" borderId="11" xfId="0" applyFont="1" applyFill="1" applyBorder="1" applyAlignment="1">
      <alignment horizontal="center" vertical="center"/>
    </xf>
    <xf numFmtId="0" fontId="11" fillId="15" borderId="16" xfId="0" applyFont="1" applyFill="1" applyBorder="1" applyAlignment="1">
      <alignment horizontal="center" vertical="center"/>
    </xf>
    <xf numFmtId="0" fontId="11" fillId="15" borderId="12" xfId="0" applyFont="1" applyFill="1" applyBorder="1" applyAlignment="1">
      <alignment horizontal="center" vertical="center"/>
    </xf>
    <xf numFmtId="0" fontId="6" fillId="2" borderId="39" xfId="0" applyNumberFormat="1" applyFont="1" applyFill="1" applyBorder="1" applyAlignment="1">
      <alignment horizontal="center" vertical="center" wrapText="1"/>
    </xf>
    <xf numFmtId="0" fontId="6" fillId="2" borderId="40" xfId="0" applyNumberFormat="1" applyFont="1" applyFill="1" applyBorder="1" applyAlignment="1">
      <alignment horizontal="center" vertical="center" wrapText="1"/>
    </xf>
    <xf numFmtId="0" fontId="12" fillId="12" borderId="11" xfId="11" applyFont="1" applyFill="1" applyBorder="1" applyAlignment="1">
      <alignment horizontal="center" vertical="center"/>
    </xf>
    <xf numFmtId="0" fontId="12" fillId="12" borderId="16" xfId="11" applyFont="1" applyFill="1" applyBorder="1" applyAlignment="1">
      <alignment horizontal="center" vertical="center"/>
    </xf>
    <xf numFmtId="0" fontId="12" fillId="12" borderId="12" xfId="11" applyFont="1" applyFill="1" applyBorder="1" applyAlignment="1">
      <alignment horizontal="center" vertical="center"/>
    </xf>
    <xf numFmtId="0" fontId="5" fillId="0" borderId="39" xfId="0" applyFont="1" applyFill="1" applyBorder="1" applyAlignment="1">
      <alignment horizontal="left" vertical="center" wrapText="1" readingOrder="1"/>
    </xf>
    <xf numFmtId="0" fontId="5" fillId="0" borderId="40" xfId="0" applyFont="1" applyFill="1" applyBorder="1" applyAlignment="1">
      <alignment horizontal="left" vertical="center" wrapText="1" readingOrder="1"/>
    </xf>
    <xf numFmtId="0" fontId="6" fillId="12" borderId="1" xfId="0" applyFont="1" applyFill="1" applyBorder="1" applyAlignment="1">
      <alignment horizontal="center" vertical="center"/>
    </xf>
    <xf numFmtId="0" fontId="6" fillId="12" borderId="2" xfId="0" applyFont="1" applyFill="1" applyBorder="1" applyAlignment="1">
      <alignment horizontal="center" vertical="center"/>
    </xf>
    <xf numFmtId="0" fontId="6" fillId="12" borderId="1" xfId="0" applyFont="1" applyFill="1" applyBorder="1" applyAlignment="1">
      <alignment horizontal="right" vertical="center"/>
    </xf>
    <xf numFmtId="0" fontId="6" fillId="12" borderId="2" xfId="0" applyFont="1" applyFill="1" applyBorder="1" applyAlignment="1">
      <alignment horizontal="right" vertical="center"/>
    </xf>
    <xf numFmtId="0" fontId="5" fillId="0" borderId="0" xfId="0" applyFont="1" applyFill="1" applyBorder="1" applyAlignment="1">
      <alignment horizontal="left" vertical="center" wrapText="1" readingOrder="1"/>
    </xf>
    <xf numFmtId="0" fontId="5" fillId="0" borderId="8" xfId="0" applyFont="1" applyFill="1" applyBorder="1" applyAlignment="1">
      <alignment horizontal="left" vertical="center" wrapText="1" readingOrder="1"/>
    </xf>
    <xf numFmtId="0" fontId="5" fillId="0" borderId="39" xfId="12" applyFont="1" applyFill="1" applyBorder="1" applyAlignment="1">
      <alignment horizontal="left" vertical="center" wrapText="1" readingOrder="1"/>
    </xf>
    <xf numFmtId="0" fontId="5" fillId="0" borderId="40" xfId="12" applyFont="1" applyFill="1" applyBorder="1" applyAlignment="1">
      <alignment horizontal="left" vertical="center" wrapText="1" readingOrder="1"/>
    </xf>
    <xf numFmtId="0" fontId="6" fillId="12" borderId="1" xfId="12" applyFont="1" applyFill="1" applyBorder="1" applyAlignment="1">
      <alignment horizontal="center" vertical="center"/>
    </xf>
    <xf numFmtId="0" fontId="6" fillId="12" borderId="1" xfId="12" applyFont="1" applyFill="1" applyBorder="1" applyAlignment="1">
      <alignment horizontal="right" vertical="center"/>
    </xf>
    <xf numFmtId="0" fontId="18" fillId="0" borderId="11" xfId="11" applyNumberFormat="1" applyFont="1" applyFill="1" applyBorder="1" applyAlignment="1" applyProtection="1">
      <alignment horizontal="right" vertical="center"/>
    </xf>
    <xf numFmtId="0" fontId="18" fillId="0" borderId="16" xfId="11" applyNumberFormat="1" applyFont="1" applyFill="1" applyBorder="1" applyAlignment="1" applyProtection="1">
      <alignment horizontal="right" vertical="center"/>
    </xf>
    <xf numFmtId="0" fontId="18" fillId="0" borderId="12" xfId="11" applyNumberFormat="1" applyFont="1" applyFill="1" applyBorder="1" applyAlignment="1" applyProtection="1">
      <alignment horizontal="right" vertical="center"/>
    </xf>
    <xf numFmtId="12" fontId="14" fillId="12" borderId="1" xfId="11" applyNumberFormat="1" applyFont="1" applyFill="1" applyBorder="1" applyAlignment="1" applyProtection="1">
      <alignment horizontal="center" vertical="center" wrapText="1"/>
    </xf>
    <xf numFmtId="0" fontId="14" fillId="12" borderId="1" xfId="11" applyNumberFormat="1" applyFont="1" applyFill="1" applyBorder="1" applyAlignment="1" applyProtection="1">
      <alignment horizontal="center" vertical="center" wrapText="1"/>
    </xf>
    <xf numFmtId="2" fontId="14" fillId="12" borderId="1" xfId="11" applyNumberFormat="1" applyFont="1" applyFill="1" applyBorder="1" applyAlignment="1" applyProtection="1">
      <alignment horizontal="center" vertical="center" wrapText="1"/>
    </xf>
    <xf numFmtId="0" fontId="14" fillId="12" borderId="1" xfId="11" applyFont="1" applyFill="1" applyBorder="1" applyAlignment="1">
      <alignment horizontal="center" vertical="center"/>
    </xf>
    <xf numFmtId="0" fontId="13" fillId="0" borderId="0" xfId="11" applyFont="1" applyFill="1" applyBorder="1" applyAlignment="1">
      <alignment horizontal="left"/>
    </xf>
    <xf numFmtId="0" fontId="13" fillId="0" borderId="8" xfId="11" applyFont="1" applyFill="1" applyBorder="1" applyAlignment="1">
      <alignment horizontal="left"/>
    </xf>
    <xf numFmtId="0" fontId="14" fillId="12" borderId="1" xfId="11" applyNumberFormat="1" applyFont="1" applyFill="1" applyBorder="1" applyAlignment="1" applyProtection="1">
      <alignment horizontal="center" vertical="center"/>
    </xf>
  </cellXfs>
  <cellStyles count="15">
    <cellStyle name="20% - Énfasis1 2" xfId="1" xr:uid="{8A9BCA13-14FE-4008-9ABC-37A31D719F23}"/>
    <cellStyle name="20% - Énfasis2 2" xfId="2" xr:uid="{5CF41452-4F78-4000-A62C-BED3AE914525}"/>
    <cellStyle name="20% - Énfasis3 2" xfId="3" xr:uid="{C666AC51-10C3-4A76-BB19-A5321824110E}"/>
    <cellStyle name="20% - Énfasis4 2" xfId="4" xr:uid="{DA86ED1A-6FA3-43C9-AD0F-264665B5E623}"/>
    <cellStyle name="40% - Énfasis3 2" xfId="5" xr:uid="{E5731F71-E227-4D41-AAC5-8DFBD0599BCF}"/>
    <cellStyle name="60% - Énfasis3 2" xfId="6" xr:uid="{07955E86-B1C1-496F-9640-CEB2026F5AA8}"/>
    <cellStyle name="60% - Énfasis4 2" xfId="7" xr:uid="{D82D2BCA-0627-40D1-BCA0-EC8F62333B28}"/>
    <cellStyle name="60% - Énfasis6 2" xfId="8" xr:uid="{4F9FA81A-44CD-421E-9611-B0E592830DC4}"/>
    <cellStyle name="Euro" xfId="9" xr:uid="{9F11BB1C-53D1-4ECC-BA0C-DF4AC8F97543}"/>
    <cellStyle name="Millares 2" xfId="10" xr:uid="{8AE209D1-F1F9-4671-A60F-95A51B32EF70}"/>
    <cellStyle name="Normal" xfId="0" builtinId="0"/>
    <cellStyle name="Normal 2" xfId="11" xr:uid="{FAFC639D-63E0-4A6B-A8C7-DD28081914A1}"/>
    <cellStyle name="Normal 3" xfId="12" xr:uid="{D9D4516C-F710-4E7E-ABFC-6A5E104638CD}"/>
    <cellStyle name="Normal 4" xfId="13" xr:uid="{FB17863D-BB9D-4B67-AAB0-1581D7501726}"/>
    <cellStyle name="Notas 2" xfId="14" xr:uid="{BECDB964-255A-4C0E-A1C1-FE06FB56D73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95250</xdr:colOff>
      <xdr:row>3</xdr:row>
      <xdr:rowOff>47625</xdr:rowOff>
    </xdr:from>
    <xdr:to>
      <xdr:col>2</xdr:col>
      <xdr:colOff>466725</xdr:colOff>
      <xdr:row>3</xdr:row>
      <xdr:rowOff>152400</xdr:rowOff>
    </xdr:to>
    <xdr:grpSp>
      <xdr:nvGrpSpPr>
        <xdr:cNvPr id="149646" name="85 Grupo">
          <a:extLst>
            <a:ext uri="{FF2B5EF4-FFF2-40B4-BE49-F238E27FC236}">
              <a16:creationId xmlns:a16="http://schemas.microsoft.com/office/drawing/2014/main" id="{295493E4-1818-8FDC-F961-D144C2583FF1}"/>
            </a:ext>
          </a:extLst>
        </xdr:cNvPr>
        <xdr:cNvGrpSpPr>
          <a:grpSpLocks/>
        </xdr:cNvGrpSpPr>
      </xdr:nvGrpSpPr>
      <xdr:grpSpPr bwMode="auto">
        <a:xfrm>
          <a:off x="4962525" y="895350"/>
          <a:ext cx="371475" cy="104775"/>
          <a:chOff x="8447314" y="557404"/>
          <a:chExt cx="2286006" cy="710782"/>
        </a:xfrm>
      </xdr:grpSpPr>
      <xdr:cxnSp macro="">
        <xdr:nvCxnSpPr>
          <xdr:cNvPr id="3" name="2 Conector recto">
            <a:extLst>
              <a:ext uri="{FF2B5EF4-FFF2-40B4-BE49-F238E27FC236}">
                <a16:creationId xmlns:a16="http://schemas.microsoft.com/office/drawing/2014/main" id="{F7485690-9831-708C-3A1D-3806A7119FEB}"/>
              </a:ext>
            </a:extLst>
          </xdr:cNvPr>
          <xdr:cNvCxnSpPr/>
        </xdr:nvCxnSpPr>
        <xdr:spPr>
          <a:xfrm>
            <a:off x="8447314" y="686637"/>
            <a:ext cx="410309" cy="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4" name="3 Conector recto">
            <a:extLst>
              <a:ext uri="{FF2B5EF4-FFF2-40B4-BE49-F238E27FC236}">
                <a16:creationId xmlns:a16="http://schemas.microsoft.com/office/drawing/2014/main" id="{9F5C219A-1AEC-1A82-AD4D-38EF5A641423}"/>
              </a:ext>
            </a:extLst>
          </xdr:cNvPr>
          <xdr:cNvCxnSpPr/>
        </xdr:nvCxnSpPr>
        <xdr:spPr>
          <a:xfrm>
            <a:off x="8857623" y="686637"/>
            <a:ext cx="644771" cy="581549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5" name="4 Conector recto">
            <a:extLst>
              <a:ext uri="{FF2B5EF4-FFF2-40B4-BE49-F238E27FC236}">
                <a16:creationId xmlns:a16="http://schemas.microsoft.com/office/drawing/2014/main" id="{CC94BEEB-88F8-3A8D-968F-23F06FFD34B1}"/>
              </a:ext>
            </a:extLst>
          </xdr:cNvPr>
          <xdr:cNvCxnSpPr/>
        </xdr:nvCxnSpPr>
        <xdr:spPr>
          <a:xfrm flipV="1">
            <a:off x="9502394" y="1268186"/>
            <a:ext cx="1230926" cy="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6" name="5 Conector recto">
            <a:extLst>
              <a:ext uri="{FF2B5EF4-FFF2-40B4-BE49-F238E27FC236}">
                <a16:creationId xmlns:a16="http://schemas.microsoft.com/office/drawing/2014/main" id="{88D999B0-7E77-4CE2-C793-67C4982CEF31}"/>
              </a:ext>
            </a:extLst>
          </xdr:cNvPr>
          <xdr:cNvCxnSpPr/>
        </xdr:nvCxnSpPr>
        <xdr:spPr>
          <a:xfrm flipV="1">
            <a:off x="10733320" y="557404"/>
            <a:ext cx="0" cy="710782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3</xdr:col>
      <xdr:colOff>104775</xdr:colOff>
      <xdr:row>3</xdr:row>
      <xdr:rowOff>76200</xdr:rowOff>
    </xdr:from>
    <xdr:to>
      <xdr:col>3</xdr:col>
      <xdr:colOff>495300</xdr:colOff>
      <xdr:row>3</xdr:row>
      <xdr:rowOff>142875</xdr:rowOff>
    </xdr:to>
    <xdr:grpSp>
      <xdr:nvGrpSpPr>
        <xdr:cNvPr id="149647" name="91 Grupo">
          <a:extLst>
            <a:ext uri="{FF2B5EF4-FFF2-40B4-BE49-F238E27FC236}">
              <a16:creationId xmlns:a16="http://schemas.microsoft.com/office/drawing/2014/main" id="{5F68D27F-785E-0BB7-C1DA-E9E70AA7746F}"/>
            </a:ext>
          </a:extLst>
        </xdr:cNvPr>
        <xdr:cNvGrpSpPr>
          <a:grpSpLocks/>
        </xdr:cNvGrpSpPr>
      </xdr:nvGrpSpPr>
      <xdr:grpSpPr bwMode="auto">
        <a:xfrm>
          <a:off x="5572125" y="923925"/>
          <a:ext cx="390525" cy="66675"/>
          <a:chOff x="4048125" y="677475"/>
          <a:chExt cx="394296" cy="69055"/>
        </a:xfrm>
      </xdr:grpSpPr>
      <xdr:sp macro="" textlink="">
        <xdr:nvSpPr>
          <xdr:cNvPr id="150016" name="Line 46">
            <a:extLst>
              <a:ext uri="{FF2B5EF4-FFF2-40B4-BE49-F238E27FC236}">
                <a16:creationId xmlns:a16="http://schemas.microsoft.com/office/drawing/2014/main" id="{F3A1972E-E85E-7510-8AB0-F7563C6D1FCD}"/>
              </a:ext>
            </a:extLst>
          </xdr:cNvPr>
          <xdr:cNvSpPr>
            <a:spLocks noChangeShapeType="1"/>
          </xdr:cNvSpPr>
        </xdr:nvSpPr>
        <xdr:spPr bwMode="auto">
          <a:xfrm>
            <a:off x="4048125" y="682136"/>
            <a:ext cx="392723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cxnSp macro="">
        <xdr:nvCxnSpPr>
          <xdr:cNvPr id="9" name="8 Conector recto">
            <a:extLst>
              <a:ext uri="{FF2B5EF4-FFF2-40B4-BE49-F238E27FC236}">
                <a16:creationId xmlns:a16="http://schemas.microsoft.com/office/drawing/2014/main" id="{951AA209-F3AD-E341-7B08-54086D226880}"/>
              </a:ext>
            </a:extLst>
          </xdr:cNvPr>
          <xdr:cNvCxnSpPr/>
        </xdr:nvCxnSpPr>
        <xdr:spPr>
          <a:xfrm rot="5400000" flipH="1" flipV="1">
            <a:off x="4407893" y="712003"/>
            <a:ext cx="69055" cy="0"/>
          </a:xfrm>
          <a:prstGeom prst="line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4</xdr:col>
      <xdr:colOff>104775</xdr:colOff>
      <xdr:row>3</xdr:row>
      <xdr:rowOff>38100</xdr:rowOff>
    </xdr:from>
    <xdr:to>
      <xdr:col>4</xdr:col>
      <xdr:colOff>495300</xdr:colOff>
      <xdr:row>3</xdr:row>
      <xdr:rowOff>161925</xdr:rowOff>
    </xdr:to>
    <xdr:grpSp>
      <xdr:nvGrpSpPr>
        <xdr:cNvPr id="149648" name="100 Grupo">
          <a:extLst>
            <a:ext uri="{FF2B5EF4-FFF2-40B4-BE49-F238E27FC236}">
              <a16:creationId xmlns:a16="http://schemas.microsoft.com/office/drawing/2014/main" id="{C9C29ED4-7A16-C0CB-85D9-9A1BB9A8F3CB}"/>
            </a:ext>
          </a:extLst>
        </xdr:cNvPr>
        <xdr:cNvGrpSpPr>
          <a:grpSpLocks/>
        </xdr:cNvGrpSpPr>
      </xdr:nvGrpSpPr>
      <xdr:grpSpPr bwMode="auto">
        <a:xfrm>
          <a:off x="6162675" y="885825"/>
          <a:ext cx="390525" cy="123825"/>
          <a:chOff x="6522244" y="677472"/>
          <a:chExt cx="305998" cy="70948"/>
        </a:xfrm>
      </xdr:grpSpPr>
      <xdr:cxnSp macro="">
        <xdr:nvCxnSpPr>
          <xdr:cNvPr id="11" name="10 Conector recto">
            <a:extLst>
              <a:ext uri="{FF2B5EF4-FFF2-40B4-BE49-F238E27FC236}">
                <a16:creationId xmlns:a16="http://schemas.microsoft.com/office/drawing/2014/main" id="{1FAB0721-2442-F475-D8FF-5CE023676D0B}"/>
              </a:ext>
            </a:extLst>
          </xdr:cNvPr>
          <xdr:cNvCxnSpPr/>
        </xdr:nvCxnSpPr>
        <xdr:spPr>
          <a:xfrm rot="5400000" flipH="1" flipV="1">
            <a:off x="6490502" y="709214"/>
            <a:ext cx="70948" cy="7463"/>
          </a:xfrm>
          <a:prstGeom prst="line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2" name="11 Conector recto">
            <a:extLst>
              <a:ext uri="{FF2B5EF4-FFF2-40B4-BE49-F238E27FC236}">
                <a16:creationId xmlns:a16="http://schemas.microsoft.com/office/drawing/2014/main" id="{286C8136-2A50-03F8-6427-8F774098E9F8}"/>
              </a:ext>
            </a:extLst>
          </xdr:cNvPr>
          <xdr:cNvCxnSpPr/>
        </xdr:nvCxnSpPr>
        <xdr:spPr>
          <a:xfrm rot="5400000" flipH="1" flipV="1">
            <a:off x="6792768" y="712946"/>
            <a:ext cx="70948" cy="0"/>
          </a:xfrm>
          <a:prstGeom prst="line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3" name="12 Conector recto">
            <a:extLst>
              <a:ext uri="{FF2B5EF4-FFF2-40B4-BE49-F238E27FC236}">
                <a16:creationId xmlns:a16="http://schemas.microsoft.com/office/drawing/2014/main" id="{F2948258-E8EF-A65D-59E1-488F931A7E09}"/>
              </a:ext>
            </a:extLst>
          </xdr:cNvPr>
          <xdr:cNvCxnSpPr/>
        </xdr:nvCxnSpPr>
        <xdr:spPr>
          <a:xfrm flipH="1" flipV="1">
            <a:off x="6775998" y="721132"/>
            <a:ext cx="29853" cy="27288"/>
          </a:xfrm>
          <a:prstGeom prst="line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4" name="13 Conector recto">
            <a:extLst>
              <a:ext uri="{FF2B5EF4-FFF2-40B4-BE49-F238E27FC236}">
                <a16:creationId xmlns:a16="http://schemas.microsoft.com/office/drawing/2014/main" id="{3713DAE2-6CB0-A4E6-76DB-465967355020}"/>
              </a:ext>
            </a:extLst>
          </xdr:cNvPr>
          <xdr:cNvCxnSpPr/>
        </xdr:nvCxnSpPr>
        <xdr:spPr>
          <a:xfrm flipH="1" flipV="1">
            <a:off x="6790925" y="704760"/>
            <a:ext cx="37317" cy="27288"/>
          </a:xfrm>
          <a:prstGeom prst="line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150014" name="Line 46">
            <a:extLst>
              <a:ext uri="{FF2B5EF4-FFF2-40B4-BE49-F238E27FC236}">
                <a16:creationId xmlns:a16="http://schemas.microsoft.com/office/drawing/2014/main" id="{E3F10959-A58F-3FD8-E3F6-056A7ADABDF6}"/>
              </a:ext>
            </a:extLst>
          </xdr:cNvPr>
          <xdr:cNvSpPr>
            <a:spLocks noChangeShapeType="1"/>
          </xdr:cNvSpPr>
        </xdr:nvSpPr>
        <xdr:spPr bwMode="auto">
          <a:xfrm>
            <a:off x="6522244" y="681038"/>
            <a:ext cx="304800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50015" name="Line 46">
            <a:extLst>
              <a:ext uri="{FF2B5EF4-FFF2-40B4-BE49-F238E27FC236}">
                <a16:creationId xmlns:a16="http://schemas.microsoft.com/office/drawing/2014/main" id="{A48CA857-3D7D-A961-8740-0A3EE31854E2}"/>
              </a:ext>
            </a:extLst>
          </xdr:cNvPr>
          <xdr:cNvSpPr>
            <a:spLocks noChangeShapeType="1"/>
          </xdr:cNvSpPr>
        </xdr:nvSpPr>
        <xdr:spPr bwMode="auto">
          <a:xfrm>
            <a:off x="6522244" y="747713"/>
            <a:ext cx="304800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5</xdr:col>
      <xdr:colOff>154781</xdr:colOff>
      <xdr:row>3</xdr:row>
      <xdr:rowOff>104775</xdr:rowOff>
    </xdr:from>
    <xdr:to>
      <xdr:col>5</xdr:col>
      <xdr:colOff>504825</xdr:colOff>
      <xdr:row>3</xdr:row>
      <xdr:rowOff>104775</xdr:rowOff>
    </xdr:to>
    <xdr:cxnSp macro="">
      <xdr:nvCxnSpPr>
        <xdr:cNvPr id="17" name="16 Conector recto">
          <a:extLst>
            <a:ext uri="{FF2B5EF4-FFF2-40B4-BE49-F238E27FC236}">
              <a16:creationId xmlns:a16="http://schemas.microsoft.com/office/drawing/2014/main" id="{97A72AA9-672E-7CF9-91C5-EA68CB84690E}"/>
            </a:ext>
          </a:extLst>
        </xdr:cNvPr>
        <xdr:cNvCxnSpPr/>
      </xdr:nvCxnSpPr>
      <xdr:spPr>
        <a:xfrm>
          <a:off x="15966281" y="704850"/>
          <a:ext cx="350044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209550</xdr:colOff>
      <xdr:row>3</xdr:row>
      <xdr:rowOff>28575</xdr:rowOff>
    </xdr:from>
    <xdr:to>
      <xdr:col>6</xdr:col>
      <xdr:colOff>523875</xdr:colOff>
      <xdr:row>3</xdr:row>
      <xdr:rowOff>161925</xdr:rowOff>
    </xdr:to>
    <xdr:grpSp>
      <xdr:nvGrpSpPr>
        <xdr:cNvPr id="149650" name="133 Grupo">
          <a:extLst>
            <a:ext uri="{FF2B5EF4-FFF2-40B4-BE49-F238E27FC236}">
              <a16:creationId xmlns:a16="http://schemas.microsoft.com/office/drawing/2014/main" id="{F55311AC-7898-6070-0950-E3327102B17B}"/>
            </a:ext>
          </a:extLst>
        </xdr:cNvPr>
        <xdr:cNvGrpSpPr>
          <a:grpSpLocks/>
        </xdr:cNvGrpSpPr>
      </xdr:nvGrpSpPr>
      <xdr:grpSpPr bwMode="auto">
        <a:xfrm>
          <a:off x="7410450" y="876300"/>
          <a:ext cx="314325" cy="133350"/>
          <a:chOff x="4704169" y="631035"/>
          <a:chExt cx="314313" cy="133351"/>
        </a:xfrm>
      </xdr:grpSpPr>
      <xdr:sp macro="" textlink="">
        <xdr:nvSpPr>
          <xdr:cNvPr id="150007" name="Line 46">
            <a:extLst>
              <a:ext uri="{FF2B5EF4-FFF2-40B4-BE49-F238E27FC236}">
                <a16:creationId xmlns:a16="http://schemas.microsoft.com/office/drawing/2014/main" id="{4DAD3CC9-98E1-D59C-CCF7-FF08D63C4D71}"/>
              </a:ext>
            </a:extLst>
          </xdr:cNvPr>
          <xdr:cNvSpPr>
            <a:spLocks noChangeShapeType="1"/>
          </xdr:cNvSpPr>
        </xdr:nvSpPr>
        <xdr:spPr bwMode="auto">
          <a:xfrm>
            <a:off x="4707729" y="697708"/>
            <a:ext cx="304800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cxnSp macro="">
        <xdr:nvCxnSpPr>
          <xdr:cNvPr id="20" name="19 Conector recto">
            <a:extLst>
              <a:ext uri="{FF2B5EF4-FFF2-40B4-BE49-F238E27FC236}">
                <a16:creationId xmlns:a16="http://schemas.microsoft.com/office/drawing/2014/main" id="{71208781-9C26-6460-AF44-B93A70F61E61}"/>
              </a:ext>
            </a:extLst>
          </xdr:cNvPr>
          <xdr:cNvCxnSpPr/>
        </xdr:nvCxnSpPr>
        <xdr:spPr>
          <a:xfrm rot="5400000" flipH="1" flipV="1">
            <a:off x="4985144" y="664373"/>
            <a:ext cx="66676" cy="0"/>
          </a:xfrm>
          <a:prstGeom prst="line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1" name="20 Conector recto">
            <a:extLst>
              <a:ext uri="{FF2B5EF4-FFF2-40B4-BE49-F238E27FC236}">
                <a16:creationId xmlns:a16="http://schemas.microsoft.com/office/drawing/2014/main" id="{CE39EDE8-CBF3-1FB0-44D8-A9C823F5035D}"/>
              </a:ext>
            </a:extLst>
          </xdr:cNvPr>
          <xdr:cNvCxnSpPr/>
        </xdr:nvCxnSpPr>
        <xdr:spPr>
          <a:xfrm rot="5400000" flipH="1" flipV="1">
            <a:off x="4670831" y="731049"/>
            <a:ext cx="66676" cy="0"/>
          </a:xfrm>
          <a:prstGeom prst="line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7</xdr:col>
      <xdr:colOff>209550</xdr:colOff>
      <xdr:row>3</xdr:row>
      <xdr:rowOff>38100</xdr:rowOff>
    </xdr:from>
    <xdr:to>
      <xdr:col>7</xdr:col>
      <xdr:colOff>419100</xdr:colOff>
      <xdr:row>3</xdr:row>
      <xdr:rowOff>161925</xdr:rowOff>
    </xdr:to>
    <xdr:grpSp>
      <xdr:nvGrpSpPr>
        <xdr:cNvPr id="149651" name="151 Grupo">
          <a:extLst>
            <a:ext uri="{FF2B5EF4-FFF2-40B4-BE49-F238E27FC236}">
              <a16:creationId xmlns:a16="http://schemas.microsoft.com/office/drawing/2014/main" id="{FD706E2C-4C61-6946-EA7F-8217F4471F49}"/>
            </a:ext>
          </a:extLst>
        </xdr:cNvPr>
        <xdr:cNvGrpSpPr>
          <a:grpSpLocks/>
        </xdr:cNvGrpSpPr>
      </xdr:nvGrpSpPr>
      <xdr:grpSpPr bwMode="auto">
        <a:xfrm>
          <a:off x="7981950" y="885825"/>
          <a:ext cx="209550" cy="123825"/>
          <a:chOff x="6662421" y="677472"/>
          <a:chExt cx="165821" cy="71226"/>
        </a:xfrm>
      </xdr:grpSpPr>
      <xdr:cxnSp macro="">
        <xdr:nvCxnSpPr>
          <xdr:cNvPr id="23" name="22 Conector recto">
            <a:extLst>
              <a:ext uri="{FF2B5EF4-FFF2-40B4-BE49-F238E27FC236}">
                <a16:creationId xmlns:a16="http://schemas.microsoft.com/office/drawing/2014/main" id="{980E3BD1-D2FB-074B-B761-B321022FE6B4}"/>
              </a:ext>
            </a:extLst>
          </xdr:cNvPr>
          <xdr:cNvCxnSpPr/>
        </xdr:nvCxnSpPr>
        <xdr:spPr>
          <a:xfrm rot="5400000" flipH="1" flipV="1">
            <a:off x="6626808" y="713085"/>
            <a:ext cx="71226" cy="0"/>
          </a:xfrm>
          <a:prstGeom prst="line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4" name="23 Conector recto">
            <a:extLst>
              <a:ext uri="{FF2B5EF4-FFF2-40B4-BE49-F238E27FC236}">
                <a16:creationId xmlns:a16="http://schemas.microsoft.com/office/drawing/2014/main" id="{37E4B07E-0AC8-4B5A-1BAE-9B273EC7FE73}"/>
              </a:ext>
            </a:extLst>
          </xdr:cNvPr>
          <xdr:cNvCxnSpPr/>
        </xdr:nvCxnSpPr>
        <xdr:spPr>
          <a:xfrm rot="5400000" flipH="1" flipV="1">
            <a:off x="6792629" y="713085"/>
            <a:ext cx="71226" cy="0"/>
          </a:xfrm>
          <a:prstGeom prst="line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5" name="24 Conector recto">
            <a:extLst>
              <a:ext uri="{FF2B5EF4-FFF2-40B4-BE49-F238E27FC236}">
                <a16:creationId xmlns:a16="http://schemas.microsoft.com/office/drawing/2014/main" id="{9A6093D4-4B65-CA05-4E53-9CBD8A845F0A}"/>
              </a:ext>
            </a:extLst>
          </xdr:cNvPr>
          <xdr:cNvCxnSpPr/>
        </xdr:nvCxnSpPr>
        <xdr:spPr>
          <a:xfrm flipH="1" flipV="1">
            <a:off x="6775481" y="721303"/>
            <a:ext cx="30149" cy="27395"/>
          </a:xfrm>
          <a:prstGeom prst="line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6" name="25 Conector recto">
            <a:extLst>
              <a:ext uri="{FF2B5EF4-FFF2-40B4-BE49-F238E27FC236}">
                <a16:creationId xmlns:a16="http://schemas.microsoft.com/office/drawing/2014/main" id="{519B49DC-EB4B-2D86-8A59-DB498CD7BFFB}"/>
              </a:ext>
            </a:extLst>
          </xdr:cNvPr>
          <xdr:cNvCxnSpPr/>
        </xdr:nvCxnSpPr>
        <xdr:spPr>
          <a:xfrm flipH="1" flipV="1">
            <a:off x="6790555" y="704867"/>
            <a:ext cx="37687" cy="27395"/>
          </a:xfrm>
          <a:prstGeom prst="line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150005" name="Line 46">
            <a:extLst>
              <a:ext uri="{FF2B5EF4-FFF2-40B4-BE49-F238E27FC236}">
                <a16:creationId xmlns:a16="http://schemas.microsoft.com/office/drawing/2014/main" id="{D0E5537F-F3E4-BFDC-0C43-F3780E7E9EF1}"/>
              </a:ext>
            </a:extLst>
          </xdr:cNvPr>
          <xdr:cNvSpPr>
            <a:spLocks noChangeShapeType="1"/>
          </xdr:cNvSpPr>
        </xdr:nvSpPr>
        <xdr:spPr bwMode="auto">
          <a:xfrm flipV="1">
            <a:off x="6667926" y="681037"/>
            <a:ext cx="159117" cy="194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50006" name="Line 46">
            <a:extLst>
              <a:ext uri="{FF2B5EF4-FFF2-40B4-BE49-F238E27FC236}">
                <a16:creationId xmlns:a16="http://schemas.microsoft.com/office/drawing/2014/main" id="{4698FAAE-52EC-90E6-0BB2-6C2D344FB0A1}"/>
              </a:ext>
            </a:extLst>
          </xdr:cNvPr>
          <xdr:cNvSpPr>
            <a:spLocks noChangeShapeType="1"/>
          </xdr:cNvSpPr>
        </xdr:nvSpPr>
        <xdr:spPr bwMode="auto">
          <a:xfrm flipV="1">
            <a:off x="6667938" y="747713"/>
            <a:ext cx="159105" cy="985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8</xdr:col>
      <xdr:colOff>76200</xdr:colOff>
      <xdr:row>3</xdr:row>
      <xdr:rowOff>19050</xdr:rowOff>
    </xdr:from>
    <xdr:to>
      <xdr:col>8</xdr:col>
      <xdr:colOff>495300</xdr:colOff>
      <xdr:row>3</xdr:row>
      <xdr:rowOff>142875</xdr:rowOff>
    </xdr:to>
    <xdr:grpSp>
      <xdr:nvGrpSpPr>
        <xdr:cNvPr id="149652" name="202 Grupo">
          <a:extLst>
            <a:ext uri="{FF2B5EF4-FFF2-40B4-BE49-F238E27FC236}">
              <a16:creationId xmlns:a16="http://schemas.microsoft.com/office/drawing/2014/main" id="{CFF33322-7CA8-5122-14FC-F8BDC09192E3}"/>
            </a:ext>
          </a:extLst>
        </xdr:cNvPr>
        <xdr:cNvGrpSpPr>
          <a:grpSpLocks/>
        </xdr:cNvGrpSpPr>
      </xdr:nvGrpSpPr>
      <xdr:grpSpPr bwMode="auto">
        <a:xfrm>
          <a:off x="8420100" y="866775"/>
          <a:ext cx="419100" cy="123825"/>
          <a:chOff x="4023219" y="622056"/>
          <a:chExt cx="419202" cy="124474"/>
        </a:xfrm>
      </xdr:grpSpPr>
      <xdr:sp macro="" textlink="">
        <xdr:nvSpPr>
          <xdr:cNvPr id="149999" name="Line 46">
            <a:extLst>
              <a:ext uri="{FF2B5EF4-FFF2-40B4-BE49-F238E27FC236}">
                <a16:creationId xmlns:a16="http://schemas.microsoft.com/office/drawing/2014/main" id="{0A8D1429-678E-588B-E887-AB2720D9E964}"/>
              </a:ext>
            </a:extLst>
          </xdr:cNvPr>
          <xdr:cNvSpPr>
            <a:spLocks noChangeShapeType="1"/>
          </xdr:cNvSpPr>
        </xdr:nvSpPr>
        <xdr:spPr bwMode="auto">
          <a:xfrm>
            <a:off x="4023219" y="622056"/>
            <a:ext cx="417630" cy="6008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cxnSp macro="">
        <xdr:nvCxnSpPr>
          <xdr:cNvPr id="31" name="30 Conector recto">
            <a:extLst>
              <a:ext uri="{FF2B5EF4-FFF2-40B4-BE49-F238E27FC236}">
                <a16:creationId xmlns:a16="http://schemas.microsoft.com/office/drawing/2014/main" id="{78DC017B-5B12-FACB-CF61-CD10FBBF0322}"/>
              </a:ext>
            </a:extLst>
          </xdr:cNvPr>
          <xdr:cNvCxnSpPr/>
        </xdr:nvCxnSpPr>
        <xdr:spPr>
          <a:xfrm rot="5400000" flipH="1" flipV="1">
            <a:off x="4408908" y="713018"/>
            <a:ext cx="67024" cy="0"/>
          </a:xfrm>
          <a:prstGeom prst="line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9</xdr:col>
      <xdr:colOff>171450</xdr:colOff>
      <xdr:row>3</xdr:row>
      <xdr:rowOff>19050</xdr:rowOff>
    </xdr:from>
    <xdr:to>
      <xdr:col>9</xdr:col>
      <xdr:colOff>409575</xdr:colOff>
      <xdr:row>3</xdr:row>
      <xdr:rowOff>180975</xdr:rowOff>
    </xdr:to>
    <xdr:grpSp>
      <xdr:nvGrpSpPr>
        <xdr:cNvPr id="149653" name="234 Grupo">
          <a:extLst>
            <a:ext uri="{FF2B5EF4-FFF2-40B4-BE49-F238E27FC236}">
              <a16:creationId xmlns:a16="http://schemas.microsoft.com/office/drawing/2014/main" id="{9DCF6670-F353-E39E-5BC9-87F4F273220B}"/>
            </a:ext>
          </a:extLst>
        </xdr:cNvPr>
        <xdr:cNvGrpSpPr>
          <a:grpSpLocks/>
        </xdr:cNvGrpSpPr>
      </xdr:nvGrpSpPr>
      <xdr:grpSpPr bwMode="auto">
        <a:xfrm>
          <a:off x="9134475" y="866775"/>
          <a:ext cx="238125" cy="161925"/>
          <a:chOff x="8877300" y="664029"/>
          <a:chExt cx="1480763" cy="1015854"/>
        </a:xfrm>
      </xdr:grpSpPr>
      <xdr:cxnSp macro="">
        <xdr:nvCxnSpPr>
          <xdr:cNvPr id="33" name="32 Conector recto">
            <a:extLst>
              <a:ext uri="{FF2B5EF4-FFF2-40B4-BE49-F238E27FC236}">
                <a16:creationId xmlns:a16="http://schemas.microsoft.com/office/drawing/2014/main" id="{E14A28C2-5878-76E1-0062-FBBA6950D376}"/>
              </a:ext>
            </a:extLst>
          </xdr:cNvPr>
          <xdr:cNvCxnSpPr/>
        </xdr:nvCxnSpPr>
        <xdr:spPr>
          <a:xfrm>
            <a:off x="8877300" y="664029"/>
            <a:ext cx="592305" cy="597561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34" name="33 Conector recto">
            <a:extLst>
              <a:ext uri="{FF2B5EF4-FFF2-40B4-BE49-F238E27FC236}">
                <a16:creationId xmlns:a16="http://schemas.microsoft.com/office/drawing/2014/main" id="{FC4568B4-39A3-6684-BE0D-8695DF4EB9A4}"/>
              </a:ext>
            </a:extLst>
          </xdr:cNvPr>
          <xdr:cNvCxnSpPr/>
        </xdr:nvCxnSpPr>
        <xdr:spPr>
          <a:xfrm flipV="1">
            <a:off x="9469605" y="1261590"/>
            <a:ext cx="888458" cy="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35" name="34 Conector recto">
            <a:extLst>
              <a:ext uri="{FF2B5EF4-FFF2-40B4-BE49-F238E27FC236}">
                <a16:creationId xmlns:a16="http://schemas.microsoft.com/office/drawing/2014/main" id="{A85B574A-C2EA-7DA2-80F1-94FB929DB64F}"/>
              </a:ext>
            </a:extLst>
          </xdr:cNvPr>
          <xdr:cNvCxnSpPr/>
        </xdr:nvCxnSpPr>
        <xdr:spPr>
          <a:xfrm flipV="1">
            <a:off x="10358063" y="1321346"/>
            <a:ext cx="0" cy="358537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2</xdr:col>
      <xdr:colOff>154781</xdr:colOff>
      <xdr:row>12</xdr:row>
      <xdr:rowOff>104775</xdr:rowOff>
    </xdr:from>
    <xdr:to>
      <xdr:col>2</xdr:col>
      <xdr:colOff>504825</xdr:colOff>
      <xdr:row>12</xdr:row>
      <xdr:rowOff>104775</xdr:rowOff>
    </xdr:to>
    <xdr:cxnSp macro="">
      <xdr:nvCxnSpPr>
        <xdr:cNvPr id="41" name="40 Conector recto">
          <a:extLst>
            <a:ext uri="{FF2B5EF4-FFF2-40B4-BE49-F238E27FC236}">
              <a16:creationId xmlns:a16="http://schemas.microsoft.com/office/drawing/2014/main" id="{F537A985-0BBC-8E16-F66F-59853993F272}"/>
            </a:ext>
          </a:extLst>
        </xdr:cNvPr>
        <xdr:cNvCxnSpPr/>
      </xdr:nvCxnSpPr>
      <xdr:spPr>
        <a:xfrm>
          <a:off x="4393406" y="4105275"/>
          <a:ext cx="350044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154781</xdr:colOff>
      <xdr:row>13</xdr:row>
      <xdr:rowOff>104775</xdr:rowOff>
    </xdr:from>
    <xdr:to>
      <xdr:col>2</xdr:col>
      <xdr:colOff>504825</xdr:colOff>
      <xdr:row>13</xdr:row>
      <xdr:rowOff>104775</xdr:rowOff>
    </xdr:to>
    <xdr:cxnSp macro="">
      <xdr:nvCxnSpPr>
        <xdr:cNvPr id="42" name="41 Conector recto">
          <a:extLst>
            <a:ext uri="{FF2B5EF4-FFF2-40B4-BE49-F238E27FC236}">
              <a16:creationId xmlns:a16="http://schemas.microsoft.com/office/drawing/2014/main" id="{641599FA-25DE-9EC3-C3B6-FC08D6CE02AE}"/>
            </a:ext>
          </a:extLst>
        </xdr:cNvPr>
        <xdr:cNvCxnSpPr/>
      </xdr:nvCxnSpPr>
      <xdr:spPr>
        <a:xfrm>
          <a:off x="4393406" y="4305300"/>
          <a:ext cx="350044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209550</xdr:colOff>
      <xdr:row>24</xdr:row>
      <xdr:rowOff>28575</xdr:rowOff>
    </xdr:from>
    <xdr:to>
      <xdr:col>2</xdr:col>
      <xdr:colOff>523875</xdr:colOff>
      <xdr:row>24</xdr:row>
      <xdr:rowOff>161925</xdr:rowOff>
    </xdr:to>
    <xdr:grpSp>
      <xdr:nvGrpSpPr>
        <xdr:cNvPr id="149656" name="137 Grupo">
          <a:extLst>
            <a:ext uri="{FF2B5EF4-FFF2-40B4-BE49-F238E27FC236}">
              <a16:creationId xmlns:a16="http://schemas.microsoft.com/office/drawing/2014/main" id="{E2BA79EC-8699-E69B-CB61-46C956B59153}"/>
            </a:ext>
          </a:extLst>
        </xdr:cNvPr>
        <xdr:cNvGrpSpPr>
          <a:grpSpLocks/>
        </xdr:cNvGrpSpPr>
      </xdr:nvGrpSpPr>
      <xdr:grpSpPr bwMode="auto">
        <a:xfrm>
          <a:off x="5076825" y="5076825"/>
          <a:ext cx="314325" cy="133350"/>
          <a:chOff x="4704169" y="631035"/>
          <a:chExt cx="314313" cy="133351"/>
        </a:xfrm>
      </xdr:grpSpPr>
      <xdr:sp macro="" textlink="">
        <xdr:nvSpPr>
          <xdr:cNvPr id="149993" name="Line 46">
            <a:extLst>
              <a:ext uri="{FF2B5EF4-FFF2-40B4-BE49-F238E27FC236}">
                <a16:creationId xmlns:a16="http://schemas.microsoft.com/office/drawing/2014/main" id="{02AE21B9-0BEF-CD11-BB46-4AE490A9D2F2}"/>
              </a:ext>
            </a:extLst>
          </xdr:cNvPr>
          <xdr:cNvSpPr>
            <a:spLocks noChangeShapeType="1"/>
          </xdr:cNvSpPr>
        </xdr:nvSpPr>
        <xdr:spPr bwMode="auto">
          <a:xfrm>
            <a:off x="4707729" y="697708"/>
            <a:ext cx="304800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cxnSp macro="">
        <xdr:nvCxnSpPr>
          <xdr:cNvPr id="73" name="72 Conector recto">
            <a:extLst>
              <a:ext uri="{FF2B5EF4-FFF2-40B4-BE49-F238E27FC236}">
                <a16:creationId xmlns:a16="http://schemas.microsoft.com/office/drawing/2014/main" id="{5BA600B0-1D13-7A78-9FFF-BF00A618ABF7}"/>
              </a:ext>
            </a:extLst>
          </xdr:cNvPr>
          <xdr:cNvCxnSpPr/>
        </xdr:nvCxnSpPr>
        <xdr:spPr>
          <a:xfrm rot="5400000" flipH="1" flipV="1">
            <a:off x="4985144" y="664373"/>
            <a:ext cx="66676" cy="0"/>
          </a:xfrm>
          <a:prstGeom prst="line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4" name="73 Conector recto">
            <a:extLst>
              <a:ext uri="{FF2B5EF4-FFF2-40B4-BE49-F238E27FC236}">
                <a16:creationId xmlns:a16="http://schemas.microsoft.com/office/drawing/2014/main" id="{D85B43C8-2B2E-AC2B-DD04-C3F151D28224}"/>
              </a:ext>
            </a:extLst>
          </xdr:cNvPr>
          <xdr:cNvCxnSpPr/>
        </xdr:nvCxnSpPr>
        <xdr:spPr>
          <a:xfrm rot="5400000" flipH="1" flipV="1">
            <a:off x="4670831" y="731049"/>
            <a:ext cx="66676" cy="0"/>
          </a:xfrm>
          <a:prstGeom prst="line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</xdr:col>
      <xdr:colOff>209550</xdr:colOff>
      <xdr:row>23</xdr:row>
      <xdr:rowOff>28575</xdr:rowOff>
    </xdr:from>
    <xdr:to>
      <xdr:col>2</xdr:col>
      <xdr:colOff>523875</xdr:colOff>
      <xdr:row>23</xdr:row>
      <xdr:rowOff>161925</xdr:rowOff>
    </xdr:to>
    <xdr:grpSp>
      <xdr:nvGrpSpPr>
        <xdr:cNvPr id="149657" name="137 Grupo">
          <a:extLst>
            <a:ext uri="{FF2B5EF4-FFF2-40B4-BE49-F238E27FC236}">
              <a16:creationId xmlns:a16="http://schemas.microsoft.com/office/drawing/2014/main" id="{496A23A7-0AAC-B4A8-328C-0671FA558283}"/>
            </a:ext>
          </a:extLst>
        </xdr:cNvPr>
        <xdr:cNvGrpSpPr>
          <a:grpSpLocks/>
        </xdr:cNvGrpSpPr>
      </xdr:nvGrpSpPr>
      <xdr:grpSpPr bwMode="auto">
        <a:xfrm>
          <a:off x="5076825" y="4876800"/>
          <a:ext cx="314325" cy="133350"/>
          <a:chOff x="4704169" y="631035"/>
          <a:chExt cx="314313" cy="133351"/>
        </a:xfrm>
      </xdr:grpSpPr>
      <xdr:sp macro="" textlink="">
        <xdr:nvSpPr>
          <xdr:cNvPr id="149990" name="Line 46">
            <a:extLst>
              <a:ext uri="{FF2B5EF4-FFF2-40B4-BE49-F238E27FC236}">
                <a16:creationId xmlns:a16="http://schemas.microsoft.com/office/drawing/2014/main" id="{0E76914D-EC78-CB94-82E3-2678A9E99460}"/>
              </a:ext>
            </a:extLst>
          </xdr:cNvPr>
          <xdr:cNvSpPr>
            <a:spLocks noChangeShapeType="1"/>
          </xdr:cNvSpPr>
        </xdr:nvSpPr>
        <xdr:spPr bwMode="auto">
          <a:xfrm>
            <a:off x="4707729" y="697708"/>
            <a:ext cx="304800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cxnSp macro="">
        <xdr:nvCxnSpPr>
          <xdr:cNvPr id="77" name="76 Conector recto">
            <a:extLst>
              <a:ext uri="{FF2B5EF4-FFF2-40B4-BE49-F238E27FC236}">
                <a16:creationId xmlns:a16="http://schemas.microsoft.com/office/drawing/2014/main" id="{858CB522-71E9-A51B-2EE5-C021CD217CE4}"/>
              </a:ext>
            </a:extLst>
          </xdr:cNvPr>
          <xdr:cNvCxnSpPr/>
        </xdr:nvCxnSpPr>
        <xdr:spPr>
          <a:xfrm rot="5400000" flipH="1" flipV="1">
            <a:off x="4985144" y="664373"/>
            <a:ext cx="66676" cy="0"/>
          </a:xfrm>
          <a:prstGeom prst="line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8" name="77 Conector recto">
            <a:extLst>
              <a:ext uri="{FF2B5EF4-FFF2-40B4-BE49-F238E27FC236}">
                <a16:creationId xmlns:a16="http://schemas.microsoft.com/office/drawing/2014/main" id="{018348C1-325B-ABA7-A16F-2D6E63041EA5}"/>
              </a:ext>
            </a:extLst>
          </xdr:cNvPr>
          <xdr:cNvCxnSpPr/>
        </xdr:nvCxnSpPr>
        <xdr:spPr>
          <a:xfrm rot="5400000" flipH="1" flipV="1">
            <a:off x="4670831" y="731049"/>
            <a:ext cx="66676" cy="0"/>
          </a:xfrm>
          <a:prstGeom prst="line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</xdr:col>
      <xdr:colOff>154781</xdr:colOff>
      <xdr:row>25</xdr:row>
      <xdr:rowOff>104775</xdr:rowOff>
    </xdr:from>
    <xdr:to>
      <xdr:col>2</xdr:col>
      <xdr:colOff>504825</xdr:colOff>
      <xdr:row>25</xdr:row>
      <xdr:rowOff>104775</xdr:rowOff>
    </xdr:to>
    <xdr:cxnSp macro="">
      <xdr:nvCxnSpPr>
        <xdr:cNvPr id="79" name="78 Conector recto">
          <a:extLst>
            <a:ext uri="{FF2B5EF4-FFF2-40B4-BE49-F238E27FC236}">
              <a16:creationId xmlns:a16="http://schemas.microsoft.com/office/drawing/2014/main" id="{3505076C-3FF2-591B-9697-B733CD5CF475}"/>
            </a:ext>
          </a:extLst>
        </xdr:cNvPr>
        <xdr:cNvCxnSpPr/>
      </xdr:nvCxnSpPr>
      <xdr:spPr>
        <a:xfrm>
          <a:off x="4890067" y="5248275"/>
          <a:ext cx="350044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154781</xdr:colOff>
      <xdr:row>26</xdr:row>
      <xdr:rowOff>104775</xdr:rowOff>
    </xdr:from>
    <xdr:to>
      <xdr:col>2</xdr:col>
      <xdr:colOff>504825</xdr:colOff>
      <xdr:row>26</xdr:row>
      <xdr:rowOff>104775</xdr:rowOff>
    </xdr:to>
    <xdr:cxnSp macro="">
      <xdr:nvCxnSpPr>
        <xdr:cNvPr id="80" name="79 Conector recto">
          <a:extLst>
            <a:ext uri="{FF2B5EF4-FFF2-40B4-BE49-F238E27FC236}">
              <a16:creationId xmlns:a16="http://schemas.microsoft.com/office/drawing/2014/main" id="{4AFC9D80-E877-931A-566A-52ACDDFDA187}"/>
            </a:ext>
          </a:extLst>
        </xdr:cNvPr>
        <xdr:cNvCxnSpPr/>
      </xdr:nvCxnSpPr>
      <xdr:spPr>
        <a:xfrm>
          <a:off x="4890067" y="6064704"/>
          <a:ext cx="350044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95250</xdr:colOff>
      <xdr:row>3</xdr:row>
      <xdr:rowOff>76200</xdr:rowOff>
    </xdr:from>
    <xdr:to>
      <xdr:col>10</xdr:col>
      <xdr:colOff>495300</xdr:colOff>
      <xdr:row>3</xdr:row>
      <xdr:rowOff>142875</xdr:rowOff>
    </xdr:to>
    <xdr:grpSp>
      <xdr:nvGrpSpPr>
        <xdr:cNvPr id="149660" name="270 Grupo">
          <a:extLst>
            <a:ext uri="{FF2B5EF4-FFF2-40B4-BE49-F238E27FC236}">
              <a16:creationId xmlns:a16="http://schemas.microsoft.com/office/drawing/2014/main" id="{1841B128-7778-647D-BB82-D50759CA0DCA}"/>
            </a:ext>
          </a:extLst>
        </xdr:cNvPr>
        <xdr:cNvGrpSpPr>
          <a:grpSpLocks/>
        </xdr:cNvGrpSpPr>
      </xdr:nvGrpSpPr>
      <xdr:grpSpPr bwMode="auto">
        <a:xfrm>
          <a:off x="9677400" y="923925"/>
          <a:ext cx="400050" cy="66675"/>
          <a:chOff x="4041542" y="677472"/>
          <a:chExt cx="400879" cy="69058"/>
        </a:xfrm>
      </xdr:grpSpPr>
      <xdr:sp macro="" textlink="">
        <xdr:nvSpPr>
          <xdr:cNvPr id="149987" name="Line 46">
            <a:extLst>
              <a:ext uri="{FF2B5EF4-FFF2-40B4-BE49-F238E27FC236}">
                <a16:creationId xmlns:a16="http://schemas.microsoft.com/office/drawing/2014/main" id="{AFB954CF-55BC-851A-9AAF-A2921DD6283C}"/>
              </a:ext>
            </a:extLst>
          </xdr:cNvPr>
          <xdr:cNvSpPr>
            <a:spLocks noChangeShapeType="1"/>
          </xdr:cNvSpPr>
        </xdr:nvSpPr>
        <xdr:spPr bwMode="auto">
          <a:xfrm>
            <a:off x="4048125" y="682136"/>
            <a:ext cx="392723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cxnSp macro="">
        <xdr:nvCxnSpPr>
          <xdr:cNvPr id="84" name="83 Conector recto">
            <a:extLst>
              <a:ext uri="{FF2B5EF4-FFF2-40B4-BE49-F238E27FC236}">
                <a16:creationId xmlns:a16="http://schemas.microsoft.com/office/drawing/2014/main" id="{63C26982-54DF-B6C5-FD99-9B804FB36E28}"/>
              </a:ext>
            </a:extLst>
          </xdr:cNvPr>
          <xdr:cNvCxnSpPr/>
        </xdr:nvCxnSpPr>
        <xdr:spPr>
          <a:xfrm rot="5400000" flipH="1" flipV="1">
            <a:off x="4007012" y="712002"/>
            <a:ext cx="69058" cy="0"/>
          </a:xfrm>
          <a:prstGeom prst="line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5" name="84 Conector recto">
            <a:extLst>
              <a:ext uri="{FF2B5EF4-FFF2-40B4-BE49-F238E27FC236}">
                <a16:creationId xmlns:a16="http://schemas.microsoft.com/office/drawing/2014/main" id="{6FD9915E-80FC-F07D-A76F-152FB01AA789}"/>
              </a:ext>
            </a:extLst>
          </xdr:cNvPr>
          <xdr:cNvCxnSpPr/>
        </xdr:nvCxnSpPr>
        <xdr:spPr>
          <a:xfrm rot="5400000" flipH="1" flipV="1">
            <a:off x="4407891" y="712002"/>
            <a:ext cx="69058" cy="0"/>
          </a:xfrm>
          <a:prstGeom prst="line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</xdr:col>
      <xdr:colOff>95250</xdr:colOff>
      <xdr:row>27</xdr:row>
      <xdr:rowOff>76200</xdr:rowOff>
    </xdr:from>
    <xdr:to>
      <xdr:col>2</xdr:col>
      <xdr:colOff>495300</xdr:colOff>
      <xdr:row>27</xdr:row>
      <xdr:rowOff>142875</xdr:rowOff>
    </xdr:to>
    <xdr:grpSp>
      <xdr:nvGrpSpPr>
        <xdr:cNvPr id="149661" name="270 Grupo">
          <a:extLst>
            <a:ext uri="{FF2B5EF4-FFF2-40B4-BE49-F238E27FC236}">
              <a16:creationId xmlns:a16="http://schemas.microsoft.com/office/drawing/2014/main" id="{631DA1F7-A5AD-C656-2DCB-510C69D2823D}"/>
            </a:ext>
          </a:extLst>
        </xdr:cNvPr>
        <xdr:cNvGrpSpPr>
          <a:grpSpLocks/>
        </xdr:cNvGrpSpPr>
      </xdr:nvGrpSpPr>
      <xdr:grpSpPr bwMode="auto">
        <a:xfrm>
          <a:off x="4962525" y="5724525"/>
          <a:ext cx="400050" cy="66675"/>
          <a:chOff x="4041542" y="677472"/>
          <a:chExt cx="400879" cy="69058"/>
        </a:xfrm>
      </xdr:grpSpPr>
      <xdr:sp macro="" textlink="">
        <xdr:nvSpPr>
          <xdr:cNvPr id="149984" name="Line 46">
            <a:extLst>
              <a:ext uri="{FF2B5EF4-FFF2-40B4-BE49-F238E27FC236}">
                <a16:creationId xmlns:a16="http://schemas.microsoft.com/office/drawing/2014/main" id="{946A9EFE-0165-3435-98ED-95EBA4A02ED8}"/>
              </a:ext>
            </a:extLst>
          </xdr:cNvPr>
          <xdr:cNvSpPr>
            <a:spLocks noChangeShapeType="1"/>
          </xdr:cNvSpPr>
        </xdr:nvSpPr>
        <xdr:spPr bwMode="auto">
          <a:xfrm>
            <a:off x="4048125" y="682136"/>
            <a:ext cx="392723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cxnSp macro="">
        <xdr:nvCxnSpPr>
          <xdr:cNvPr id="88" name="87 Conector recto">
            <a:extLst>
              <a:ext uri="{FF2B5EF4-FFF2-40B4-BE49-F238E27FC236}">
                <a16:creationId xmlns:a16="http://schemas.microsoft.com/office/drawing/2014/main" id="{422F7874-5A2D-BC58-D018-086F6F28B266}"/>
              </a:ext>
            </a:extLst>
          </xdr:cNvPr>
          <xdr:cNvCxnSpPr/>
        </xdr:nvCxnSpPr>
        <xdr:spPr>
          <a:xfrm rot="5400000" flipH="1" flipV="1">
            <a:off x="4007012" y="712002"/>
            <a:ext cx="69058" cy="0"/>
          </a:xfrm>
          <a:prstGeom prst="line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9" name="88 Conector recto">
            <a:extLst>
              <a:ext uri="{FF2B5EF4-FFF2-40B4-BE49-F238E27FC236}">
                <a16:creationId xmlns:a16="http://schemas.microsoft.com/office/drawing/2014/main" id="{5DB586E3-6D8B-CBAC-7905-ADB2EB21BF50}"/>
              </a:ext>
            </a:extLst>
          </xdr:cNvPr>
          <xdr:cNvCxnSpPr/>
        </xdr:nvCxnSpPr>
        <xdr:spPr>
          <a:xfrm rot="5400000" flipH="1" flipV="1">
            <a:off x="4407891" y="712002"/>
            <a:ext cx="69058" cy="0"/>
          </a:xfrm>
          <a:prstGeom prst="line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</xdr:col>
      <xdr:colOff>154781</xdr:colOff>
      <xdr:row>28</xdr:row>
      <xdr:rowOff>104775</xdr:rowOff>
    </xdr:from>
    <xdr:to>
      <xdr:col>2</xdr:col>
      <xdr:colOff>504825</xdr:colOff>
      <xdr:row>28</xdr:row>
      <xdr:rowOff>104775</xdr:rowOff>
    </xdr:to>
    <xdr:cxnSp macro="">
      <xdr:nvCxnSpPr>
        <xdr:cNvPr id="90" name="89 Conector recto">
          <a:extLst>
            <a:ext uri="{FF2B5EF4-FFF2-40B4-BE49-F238E27FC236}">
              <a16:creationId xmlns:a16="http://schemas.microsoft.com/office/drawing/2014/main" id="{69A2A5E5-76A9-101B-0871-4D91C60488F8}"/>
            </a:ext>
          </a:extLst>
        </xdr:cNvPr>
        <xdr:cNvCxnSpPr/>
      </xdr:nvCxnSpPr>
      <xdr:spPr>
        <a:xfrm>
          <a:off x="4890067" y="6268811"/>
          <a:ext cx="350044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154781</xdr:colOff>
      <xdr:row>29</xdr:row>
      <xdr:rowOff>104775</xdr:rowOff>
    </xdr:from>
    <xdr:to>
      <xdr:col>2</xdr:col>
      <xdr:colOff>504825</xdr:colOff>
      <xdr:row>29</xdr:row>
      <xdr:rowOff>104775</xdr:rowOff>
    </xdr:to>
    <xdr:cxnSp macro="">
      <xdr:nvCxnSpPr>
        <xdr:cNvPr id="91" name="90 Conector recto">
          <a:extLst>
            <a:ext uri="{FF2B5EF4-FFF2-40B4-BE49-F238E27FC236}">
              <a16:creationId xmlns:a16="http://schemas.microsoft.com/office/drawing/2014/main" id="{F8F9F088-75EE-17A1-92B3-44B7320AD511}"/>
            </a:ext>
          </a:extLst>
        </xdr:cNvPr>
        <xdr:cNvCxnSpPr/>
      </xdr:nvCxnSpPr>
      <xdr:spPr>
        <a:xfrm>
          <a:off x="4890067" y="6677025"/>
          <a:ext cx="350044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154781</xdr:colOff>
      <xdr:row>31</xdr:row>
      <xdr:rowOff>104775</xdr:rowOff>
    </xdr:from>
    <xdr:to>
      <xdr:col>2</xdr:col>
      <xdr:colOff>504825</xdr:colOff>
      <xdr:row>31</xdr:row>
      <xdr:rowOff>104775</xdr:rowOff>
    </xdr:to>
    <xdr:cxnSp macro="">
      <xdr:nvCxnSpPr>
        <xdr:cNvPr id="92" name="91 Conector recto">
          <a:extLst>
            <a:ext uri="{FF2B5EF4-FFF2-40B4-BE49-F238E27FC236}">
              <a16:creationId xmlns:a16="http://schemas.microsoft.com/office/drawing/2014/main" id="{A74C8B84-CFBF-7092-21A1-44087B0E7FB4}"/>
            </a:ext>
          </a:extLst>
        </xdr:cNvPr>
        <xdr:cNvCxnSpPr/>
      </xdr:nvCxnSpPr>
      <xdr:spPr>
        <a:xfrm>
          <a:off x="4890067" y="2594882"/>
          <a:ext cx="350044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154781</xdr:colOff>
      <xdr:row>32</xdr:row>
      <xdr:rowOff>104775</xdr:rowOff>
    </xdr:from>
    <xdr:to>
      <xdr:col>2</xdr:col>
      <xdr:colOff>504825</xdr:colOff>
      <xdr:row>32</xdr:row>
      <xdr:rowOff>104775</xdr:rowOff>
    </xdr:to>
    <xdr:cxnSp macro="">
      <xdr:nvCxnSpPr>
        <xdr:cNvPr id="93" name="92 Conector recto">
          <a:extLst>
            <a:ext uri="{FF2B5EF4-FFF2-40B4-BE49-F238E27FC236}">
              <a16:creationId xmlns:a16="http://schemas.microsoft.com/office/drawing/2014/main" id="{FE832C8D-2477-E7BE-4211-AB2137A06EF2}"/>
            </a:ext>
          </a:extLst>
        </xdr:cNvPr>
        <xdr:cNvCxnSpPr/>
      </xdr:nvCxnSpPr>
      <xdr:spPr>
        <a:xfrm>
          <a:off x="4890067" y="2798989"/>
          <a:ext cx="350044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154781</xdr:colOff>
      <xdr:row>33</xdr:row>
      <xdr:rowOff>104775</xdr:rowOff>
    </xdr:from>
    <xdr:to>
      <xdr:col>2</xdr:col>
      <xdr:colOff>504825</xdr:colOff>
      <xdr:row>33</xdr:row>
      <xdr:rowOff>104775</xdr:rowOff>
    </xdr:to>
    <xdr:cxnSp macro="">
      <xdr:nvCxnSpPr>
        <xdr:cNvPr id="94" name="93 Conector recto">
          <a:extLst>
            <a:ext uri="{FF2B5EF4-FFF2-40B4-BE49-F238E27FC236}">
              <a16:creationId xmlns:a16="http://schemas.microsoft.com/office/drawing/2014/main" id="{5611AC21-F51B-8415-39FD-FC977E4FE66D}"/>
            </a:ext>
          </a:extLst>
        </xdr:cNvPr>
        <xdr:cNvCxnSpPr/>
      </xdr:nvCxnSpPr>
      <xdr:spPr>
        <a:xfrm>
          <a:off x="4890067" y="3003096"/>
          <a:ext cx="350044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154781</xdr:colOff>
      <xdr:row>34</xdr:row>
      <xdr:rowOff>104775</xdr:rowOff>
    </xdr:from>
    <xdr:to>
      <xdr:col>2</xdr:col>
      <xdr:colOff>504825</xdr:colOff>
      <xdr:row>34</xdr:row>
      <xdr:rowOff>104775</xdr:rowOff>
    </xdr:to>
    <xdr:cxnSp macro="">
      <xdr:nvCxnSpPr>
        <xdr:cNvPr id="95" name="94 Conector recto">
          <a:extLst>
            <a:ext uri="{FF2B5EF4-FFF2-40B4-BE49-F238E27FC236}">
              <a16:creationId xmlns:a16="http://schemas.microsoft.com/office/drawing/2014/main" id="{D8DA7509-3D49-07A2-D015-DFB131283015}"/>
            </a:ext>
          </a:extLst>
        </xdr:cNvPr>
        <xdr:cNvCxnSpPr/>
      </xdr:nvCxnSpPr>
      <xdr:spPr>
        <a:xfrm>
          <a:off x="4890067" y="3207204"/>
          <a:ext cx="350044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154781</xdr:colOff>
      <xdr:row>35</xdr:row>
      <xdr:rowOff>104775</xdr:rowOff>
    </xdr:from>
    <xdr:to>
      <xdr:col>2</xdr:col>
      <xdr:colOff>504825</xdr:colOff>
      <xdr:row>35</xdr:row>
      <xdr:rowOff>104775</xdr:rowOff>
    </xdr:to>
    <xdr:cxnSp macro="">
      <xdr:nvCxnSpPr>
        <xdr:cNvPr id="96" name="95 Conector recto">
          <a:extLst>
            <a:ext uri="{FF2B5EF4-FFF2-40B4-BE49-F238E27FC236}">
              <a16:creationId xmlns:a16="http://schemas.microsoft.com/office/drawing/2014/main" id="{21BB0BA9-FB03-CCA5-992C-82727261E3EF}"/>
            </a:ext>
          </a:extLst>
        </xdr:cNvPr>
        <xdr:cNvCxnSpPr/>
      </xdr:nvCxnSpPr>
      <xdr:spPr>
        <a:xfrm>
          <a:off x="4890067" y="3411311"/>
          <a:ext cx="350044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154781</xdr:colOff>
      <xdr:row>36</xdr:row>
      <xdr:rowOff>104775</xdr:rowOff>
    </xdr:from>
    <xdr:to>
      <xdr:col>2</xdr:col>
      <xdr:colOff>504825</xdr:colOff>
      <xdr:row>36</xdr:row>
      <xdr:rowOff>104775</xdr:rowOff>
    </xdr:to>
    <xdr:cxnSp macro="">
      <xdr:nvCxnSpPr>
        <xdr:cNvPr id="97" name="96 Conector recto">
          <a:extLst>
            <a:ext uri="{FF2B5EF4-FFF2-40B4-BE49-F238E27FC236}">
              <a16:creationId xmlns:a16="http://schemas.microsoft.com/office/drawing/2014/main" id="{28091828-B186-857C-1904-D047B8E9C758}"/>
            </a:ext>
          </a:extLst>
        </xdr:cNvPr>
        <xdr:cNvCxnSpPr/>
      </xdr:nvCxnSpPr>
      <xdr:spPr>
        <a:xfrm>
          <a:off x="4890067" y="3615418"/>
          <a:ext cx="350044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154781</xdr:colOff>
      <xdr:row>37</xdr:row>
      <xdr:rowOff>104775</xdr:rowOff>
    </xdr:from>
    <xdr:to>
      <xdr:col>2</xdr:col>
      <xdr:colOff>504825</xdr:colOff>
      <xdr:row>37</xdr:row>
      <xdr:rowOff>104775</xdr:rowOff>
    </xdr:to>
    <xdr:cxnSp macro="">
      <xdr:nvCxnSpPr>
        <xdr:cNvPr id="98" name="97 Conector recto">
          <a:extLst>
            <a:ext uri="{FF2B5EF4-FFF2-40B4-BE49-F238E27FC236}">
              <a16:creationId xmlns:a16="http://schemas.microsoft.com/office/drawing/2014/main" id="{EA39F803-ABD6-CDEF-A3A1-E2F1CDF3E00A}"/>
            </a:ext>
          </a:extLst>
        </xdr:cNvPr>
        <xdr:cNvCxnSpPr/>
      </xdr:nvCxnSpPr>
      <xdr:spPr>
        <a:xfrm>
          <a:off x="4890067" y="3819525"/>
          <a:ext cx="350044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154781</xdr:colOff>
      <xdr:row>38</xdr:row>
      <xdr:rowOff>104775</xdr:rowOff>
    </xdr:from>
    <xdr:to>
      <xdr:col>2</xdr:col>
      <xdr:colOff>504825</xdr:colOff>
      <xdr:row>38</xdr:row>
      <xdr:rowOff>104775</xdr:rowOff>
    </xdr:to>
    <xdr:cxnSp macro="">
      <xdr:nvCxnSpPr>
        <xdr:cNvPr id="99" name="98 Conector recto">
          <a:extLst>
            <a:ext uri="{FF2B5EF4-FFF2-40B4-BE49-F238E27FC236}">
              <a16:creationId xmlns:a16="http://schemas.microsoft.com/office/drawing/2014/main" id="{6844C952-650F-A031-B6E9-CFD0C72AFFA7}"/>
            </a:ext>
          </a:extLst>
        </xdr:cNvPr>
        <xdr:cNvCxnSpPr/>
      </xdr:nvCxnSpPr>
      <xdr:spPr>
        <a:xfrm>
          <a:off x="4890067" y="4023632"/>
          <a:ext cx="350044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154781</xdr:colOff>
      <xdr:row>39</xdr:row>
      <xdr:rowOff>104775</xdr:rowOff>
    </xdr:from>
    <xdr:to>
      <xdr:col>2</xdr:col>
      <xdr:colOff>504825</xdr:colOff>
      <xdr:row>39</xdr:row>
      <xdr:rowOff>104775</xdr:rowOff>
    </xdr:to>
    <xdr:cxnSp macro="">
      <xdr:nvCxnSpPr>
        <xdr:cNvPr id="100" name="99 Conector recto">
          <a:extLst>
            <a:ext uri="{FF2B5EF4-FFF2-40B4-BE49-F238E27FC236}">
              <a16:creationId xmlns:a16="http://schemas.microsoft.com/office/drawing/2014/main" id="{4F479D89-55B6-2A95-C49E-EBAAF69AA926}"/>
            </a:ext>
          </a:extLst>
        </xdr:cNvPr>
        <xdr:cNvCxnSpPr/>
      </xdr:nvCxnSpPr>
      <xdr:spPr>
        <a:xfrm>
          <a:off x="4890067" y="4227739"/>
          <a:ext cx="350044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154781</xdr:colOff>
      <xdr:row>40</xdr:row>
      <xdr:rowOff>104775</xdr:rowOff>
    </xdr:from>
    <xdr:to>
      <xdr:col>2</xdr:col>
      <xdr:colOff>504825</xdr:colOff>
      <xdr:row>40</xdr:row>
      <xdr:rowOff>104775</xdr:rowOff>
    </xdr:to>
    <xdr:cxnSp macro="">
      <xdr:nvCxnSpPr>
        <xdr:cNvPr id="101" name="100 Conector recto">
          <a:extLst>
            <a:ext uri="{FF2B5EF4-FFF2-40B4-BE49-F238E27FC236}">
              <a16:creationId xmlns:a16="http://schemas.microsoft.com/office/drawing/2014/main" id="{2C0B23C0-9523-DEBD-42C6-B5576CB2509E}"/>
            </a:ext>
          </a:extLst>
        </xdr:cNvPr>
        <xdr:cNvCxnSpPr/>
      </xdr:nvCxnSpPr>
      <xdr:spPr>
        <a:xfrm>
          <a:off x="4890067" y="4431846"/>
          <a:ext cx="350044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95250</xdr:colOff>
      <xdr:row>47</xdr:row>
      <xdr:rowOff>47625</xdr:rowOff>
    </xdr:from>
    <xdr:to>
      <xdr:col>2</xdr:col>
      <xdr:colOff>466725</xdr:colOff>
      <xdr:row>47</xdr:row>
      <xdr:rowOff>152400</xdr:rowOff>
    </xdr:to>
    <xdr:grpSp>
      <xdr:nvGrpSpPr>
        <xdr:cNvPr id="149674" name="85 Grupo">
          <a:extLst>
            <a:ext uri="{FF2B5EF4-FFF2-40B4-BE49-F238E27FC236}">
              <a16:creationId xmlns:a16="http://schemas.microsoft.com/office/drawing/2014/main" id="{B07FAAB7-A13C-5A16-8EC5-6E5D79F3206F}"/>
            </a:ext>
          </a:extLst>
        </xdr:cNvPr>
        <xdr:cNvGrpSpPr>
          <a:grpSpLocks/>
        </xdr:cNvGrpSpPr>
      </xdr:nvGrpSpPr>
      <xdr:grpSpPr bwMode="auto">
        <a:xfrm>
          <a:off x="4962525" y="9696450"/>
          <a:ext cx="371475" cy="104775"/>
          <a:chOff x="8447314" y="557404"/>
          <a:chExt cx="2286006" cy="710782"/>
        </a:xfrm>
      </xdr:grpSpPr>
      <xdr:cxnSp macro="">
        <xdr:nvCxnSpPr>
          <xdr:cNvPr id="108" name="107 Conector recto">
            <a:extLst>
              <a:ext uri="{FF2B5EF4-FFF2-40B4-BE49-F238E27FC236}">
                <a16:creationId xmlns:a16="http://schemas.microsoft.com/office/drawing/2014/main" id="{D5F115AF-4D4E-098A-CEC8-E2436C11F4C1}"/>
              </a:ext>
            </a:extLst>
          </xdr:cNvPr>
          <xdr:cNvCxnSpPr/>
        </xdr:nvCxnSpPr>
        <xdr:spPr>
          <a:xfrm>
            <a:off x="8447314" y="686637"/>
            <a:ext cx="410309" cy="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109" name="108 Conector recto">
            <a:extLst>
              <a:ext uri="{FF2B5EF4-FFF2-40B4-BE49-F238E27FC236}">
                <a16:creationId xmlns:a16="http://schemas.microsoft.com/office/drawing/2014/main" id="{B026FF4E-F9C7-6B1A-1992-992F3D730BC7}"/>
              </a:ext>
            </a:extLst>
          </xdr:cNvPr>
          <xdr:cNvCxnSpPr/>
        </xdr:nvCxnSpPr>
        <xdr:spPr>
          <a:xfrm>
            <a:off x="8857623" y="686637"/>
            <a:ext cx="644771" cy="581549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110" name="109 Conector recto">
            <a:extLst>
              <a:ext uri="{FF2B5EF4-FFF2-40B4-BE49-F238E27FC236}">
                <a16:creationId xmlns:a16="http://schemas.microsoft.com/office/drawing/2014/main" id="{5E34799A-1939-12EC-DD5E-8C886FE76A39}"/>
              </a:ext>
            </a:extLst>
          </xdr:cNvPr>
          <xdr:cNvCxnSpPr/>
        </xdr:nvCxnSpPr>
        <xdr:spPr>
          <a:xfrm flipV="1">
            <a:off x="9502394" y="1268186"/>
            <a:ext cx="1230926" cy="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111" name="110 Conector recto">
            <a:extLst>
              <a:ext uri="{FF2B5EF4-FFF2-40B4-BE49-F238E27FC236}">
                <a16:creationId xmlns:a16="http://schemas.microsoft.com/office/drawing/2014/main" id="{442E85F0-81BC-5AB6-DBF3-770133222B76}"/>
              </a:ext>
            </a:extLst>
          </xdr:cNvPr>
          <xdr:cNvCxnSpPr/>
        </xdr:nvCxnSpPr>
        <xdr:spPr>
          <a:xfrm flipV="1">
            <a:off x="10733320" y="557404"/>
            <a:ext cx="0" cy="710782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2</xdr:col>
      <xdr:colOff>95250</xdr:colOff>
      <xdr:row>51</xdr:row>
      <xdr:rowOff>76200</xdr:rowOff>
    </xdr:from>
    <xdr:to>
      <xdr:col>2</xdr:col>
      <xdr:colOff>495300</xdr:colOff>
      <xdr:row>51</xdr:row>
      <xdr:rowOff>142875</xdr:rowOff>
    </xdr:to>
    <xdr:grpSp>
      <xdr:nvGrpSpPr>
        <xdr:cNvPr id="149675" name="270 Grupo">
          <a:extLst>
            <a:ext uri="{FF2B5EF4-FFF2-40B4-BE49-F238E27FC236}">
              <a16:creationId xmlns:a16="http://schemas.microsoft.com/office/drawing/2014/main" id="{42D212C4-D2BA-7F56-84E8-E21F6794326E}"/>
            </a:ext>
          </a:extLst>
        </xdr:cNvPr>
        <xdr:cNvGrpSpPr>
          <a:grpSpLocks/>
        </xdr:cNvGrpSpPr>
      </xdr:nvGrpSpPr>
      <xdr:grpSpPr bwMode="auto">
        <a:xfrm>
          <a:off x="4962525" y="10525125"/>
          <a:ext cx="400050" cy="66675"/>
          <a:chOff x="4041542" y="677472"/>
          <a:chExt cx="400879" cy="69058"/>
        </a:xfrm>
      </xdr:grpSpPr>
      <xdr:sp macro="" textlink="">
        <xdr:nvSpPr>
          <xdr:cNvPr id="149977" name="Line 46">
            <a:extLst>
              <a:ext uri="{FF2B5EF4-FFF2-40B4-BE49-F238E27FC236}">
                <a16:creationId xmlns:a16="http://schemas.microsoft.com/office/drawing/2014/main" id="{B00EB360-3E74-6CF2-EB0A-95E28AA4449F}"/>
              </a:ext>
            </a:extLst>
          </xdr:cNvPr>
          <xdr:cNvSpPr>
            <a:spLocks noChangeShapeType="1"/>
          </xdr:cNvSpPr>
        </xdr:nvSpPr>
        <xdr:spPr bwMode="auto">
          <a:xfrm>
            <a:off x="4048125" y="682136"/>
            <a:ext cx="392723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cxnSp macro="">
        <xdr:nvCxnSpPr>
          <xdr:cNvPr id="117" name="116 Conector recto">
            <a:extLst>
              <a:ext uri="{FF2B5EF4-FFF2-40B4-BE49-F238E27FC236}">
                <a16:creationId xmlns:a16="http://schemas.microsoft.com/office/drawing/2014/main" id="{15031F2E-BE08-E7DC-63A1-09319DF5E187}"/>
              </a:ext>
            </a:extLst>
          </xdr:cNvPr>
          <xdr:cNvCxnSpPr/>
        </xdr:nvCxnSpPr>
        <xdr:spPr>
          <a:xfrm rot="5400000" flipH="1" flipV="1">
            <a:off x="4007012" y="712002"/>
            <a:ext cx="69058" cy="0"/>
          </a:xfrm>
          <a:prstGeom prst="line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18" name="117 Conector recto">
            <a:extLst>
              <a:ext uri="{FF2B5EF4-FFF2-40B4-BE49-F238E27FC236}">
                <a16:creationId xmlns:a16="http://schemas.microsoft.com/office/drawing/2014/main" id="{EFC14E86-D049-F22D-20BB-A142AC6C570B}"/>
              </a:ext>
            </a:extLst>
          </xdr:cNvPr>
          <xdr:cNvCxnSpPr/>
        </xdr:nvCxnSpPr>
        <xdr:spPr>
          <a:xfrm rot="5400000" flipH="1" flipV="1">
            <a:off x="4407891" y="712002"/>
            <a:ext cx="69058" cy="0"/>
          </a:xfrm>
          <a:prstGeom prst="line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</xdr:col>
      <xdr:colOff>95250</xdr:colOff>
      <xdr:row>52</xdr:row>
      <xdr:rowOff>76200</xdr:rowOff>
    </xdr:from>
    <xdr:to>
      <xdr:col>2</xdr:col>
      <xdr:colOff>495300</xdr:colOff>
      <xdr:row>52</xdr:row>
      <xdr:rowOff>142875</xdr:rowOff>
    </xdr:to>
    <xdr:grpSp>
      <xdr:nvGrpSpPr>
        <xdr:cNvPr id="149676" name="270 Grupo">
          <a:extLst>
            <a:ext uri="{FF2B5EF4-FFF2-40B4-BE49-F238E27FC236}">
              <a16:creationId xmlns:a16="http://schemas.microsoft.com/office/drawing/2014/main" id="{511DB2B3-C76D-C16B-1119-3FE211B19FD7}"/>
            </a:ext>
          </a:extLst>
        </xdr:cNvPr>
        <xdr:cNvGrpSpPr>
          <a:grpSpLocks/>
        </xdr:cNvGrpSpPr>
      </xdr:nvGrpSpPr>
      <xdr:grpSpPr bwMode="auto">
        <a:xfrm>
          <a:off x="4962525" y="10725150"/>
          <a:ext cx="400050" cy="66675"/>
          <a:chOff x="4041542" y="677472"/>
          <a:chExt cx="400879" cy="69058"/>
        </a:xfrm>
      </xdr:grpSpPr>
      <xdr:sp macro="" textlink="">
        <xdr:nvSpPr>
          <xdr:cNvPr id="149974" name="Line 46">
            <a:extLst>
              <a:ext uri="{FF2B5EF4-FFF2-40B4-BE49-F238E27FC236}">
                <a16:creationId xmlns:a16="http://schemas.microsoft.com/office/drawing/2014/main" id="{73A3671A-298B-534E-AA5B-DF561974ABDA}"/>
              </a:ext>
            </a:extLst>
          </xdr:cNvPr>
          <xdr:cNvSpPr>
            <a:spLocks noChangeShapeType="1"/>
          </xdr:cNvSpPr>
        </xdr:nvSpPr>
        <xdr:spPr bwMode="auto">
          <a:xfrm>
            <a:off x="4048125" y="682136"/>
            <a:ext cx="392723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cxnSp macro="">
        <xdr:nvCxnSpPr>
          <xdr:cNvPr id="121" name="120 Conector recto">
            <a:extLst>
              <a:ext uri="{FF2B5EF4-FFF2-40B4-BE49-F238E27FC236}">
                <a16:creationId xmlns:a16="http://schemas.microsoft.com/office/drawing/2014/main" id="{2D43264D-4748-8789-F06C-A82232C1D709}"/>
              </a:ext>
            </a:extLst>
          </xdr:cNvPr>
          <xdr:cNvCxnSpPr/>
        </xdr:nvCxnSpPr>
        <xdr:spPr>
          <a:xfrm rot="5400000" flipH="1" flipV="1">
            <a:off x="4007012" y="712002"/>
            <a:ext cx="69058" cy="0"/>
          </a:xfrm>
          <a:prstGeom prst="line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22" name="121 Conector recto">
            <a:extLst>
              <a:ext uri="{FF2B5EF4-FFF2-40B4-BE49-F238E27FC236}">
                <a16:creationId xmlns:a16="http://schemas.microsoft.com/office/drawing/2014/main" id="{95501D6B-BF6D-5100-62C1-B1C32CED3A13}"/>
              </a:ext>
            </a:extLst>
          </xdr:cNvPr>
          <xdr:cNvCxnSpPr/>
        </xdr:nvCxnSpPr>
        <xdr:spPr>
          <a:xfrm rot="5400000" flipH="1" flipV="1">
            <a:off x="4407891" y="712002"/>
            <a:ext cx="69058" cy="0"/>
          </a:xfrm>
          <a:prstGeom prst="line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</xdr:col>
      <xdr:colOff>154781</xdr:colOff>
      <xdr:row>63</xdr:row>
      <xdr:rowOff>104775</xdr:rowOff>
    </xdr:from>
    <xdr:to>
      <xdr:col>2</xdr:col>
      <xdr:colOff>504825</xdr:colOff>
      <xdr:row>63</xdr:row>
      <xdr:rowOff>104775</xdr:rowOff>
    </xdr:to>
    <xdr:cxnSp macro="">
      <xdr:nvCxnSpPr>
        <xdr:cNvPr id="127" name="126 Conector recto">
          <a:extLst>
            <a:ext uri="{FF2B5EF4-FFF2-40B4-BE49-F238E27FC236}">
              <a16:creationId xmlns:a16="http://schemas.microsoft.com/office/drawing/2014/main" id="{2DBBD10D-776A-103E-3351-A04C027F22E2}"/>
            </a:ext>
          </a:extLst>
        </xdr:cNvPr>
        <xdr:cNvCxnSpPr/>
      </xdr:nvCxnSpPr>
      <xdr:spPr>
        <a:xfrm>
          <a:off x="4985317" y="11371489"/>
          <a:ext cx="350044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154781</xdr:colOff>
      <xdr:row>64</xdr:row>
      <xdr:rowOff>104775</xdr:rowOff>
    </xdr:from>
    <xdr:to>
      <xdr:col>2</xdr:col>
      <xdr:colOff>504825</xdr:colOff>
      <xdr:row>64</xdr:row>
      <xdr:rowOff>104775</xdr:rowOff>
    </xdr:to>
    <xdr:cxnSp macro="">
      <xdr:nvCxnSpPr>
        <xdr:cNvPr id="128" name="127 Conector recto">
          <a:extLst>
            <a:ext uri="{FF2B5EF4-FFF2-40B4-BE49-F238E27FC236}">
              <a16:creationId xmlns:a16="http://schemas.microsoft.com/office/drawing/2014/main" id="{97C1BA33-EC98-A1C5-64B4-06145C24F43A}"/>
            </a:ext>
          </a:extLst>
        </xdr:cNvPr>
        <xdr:cNvCxnSpPr/>
      </xdr:nvCxnSpPr>
      <xdr:spPr>
        <a:xfrm>
          <a:off x="4985317" y="11371489"/>
          <a:ext cx="350044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154781</xdr:colOff>
      <xdr:row>55</xdr:row>
      <xdr:rowOff>104775</xdr:rowOff>
    </xdr:from>
    <xdr:to>
      <xdr:col>2</xdr:col>
      <xdr:colOff>504825</xdr:colOff>
      <xdr:row>55</xdr:row>
      <xdr:rowOff>104775</xdr:rowOff>
    </xdr:to>
    <xdr:cxnSp macro="">
      <xdr:nvCxnSpPr>
        <xdr:cNvPr id="129" name="128 Conector recto">
          <a:extLst>
            <a:ext uri="{FF2B5EF4-FFF2-40B4-BE49-F238E27FC236}">
              <a16:creationId xmlns:a16="http://schemas.microsoft.com/office/drawing/2014/main" id="{249462AF-E246-F7DA-8F77-3FD655B9F4AA}"/>
            </a:ext>
          </a:extLst>
        </xdr:cNvPr>
        <xdr:cNvCxnSpPr/>
      </xdr:nvCxnSpPr>
      <xdr:spPr>
        <a:xfrm>
          <a:off x="4985317" y="6881132"/>
          <a:ext cx="350044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154781</xdr:colOff>
      <xdr:row>56</xdr:row>
      <xdr:rowOff>104775</xdr:rowOff>
    </xdr:from>
    <xdr:to>
      <xdr:col>2</xdr:col>
      <xdr:colOff>504825</xdr:colOff>
      <xdr:row>56</xdr:row>
      <xdr:rowOff>104775</xdr:rowOff>
    </xdr:to>
    <xdr:cxnSp macro="">
      <xdr:nvCxnSpPr>
        <xdr:cNvPr id="130" name="129 Conector recto">
          <a:extLst>
            <a:ext uri="{FF2B5EF4-FFF2-40B4-BE49-F238E27FC236}">
              <a16:creationId xmlns:a16="http://schemas.microsoft.com/office/drawing/2014/main" id="{1056F5CD-B54C-74B1-B1A7-A7D5E5F15896}"/>
            </a:ext>
          </a:extLst>
        </xdr:cNvPr>
        <xdr:cNvCxnSpPr/>
      </xdr:nvCxnSpPr>
      <xdr:spPr>
        <a:xfrm>
          <a:off x="4985317" y="7085239"/>
          <a:ext cx="350044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154781</xdr:colOff>
      <xdr:row>57</xdr:row>
      <xdr:rowOff>104775</xdr:rowOff>
    </xdr:from>
    <xdr:to>
      <xdr:col>2</xdr:col>
      <xdr:colOff>504825</xdr:colOff>
      <xdr:row>57</xdr:row>
      <xdr:rowOff>104775</xdr:rowOff>
    </xdr:to>
    <xdr:cxnSp macro="">
      <xdr:nvCxnSpPr>
        <xdr:cNvPr id="131" name="130 Conector recto">
          <a:extLst>
            <a:ext uri="{FF2B5EF4-FFF2-40B4-BE49-F238E27FC236}">
              <a16:creationId xmlns:a16="http://schemas.microsoft.com/office/drawing/2014/main" id="{289E420A-71FF-F9CF-262B-930BB5D053DA}"/>
            </a:ext>
          </a:extLst>
        </xdr:cNvPr>
        <xdr:cNvCxnSpPr/>
      </xdr:nvCxnSpPr>
      <xdr:spPr>
        <a:xfrm>
          <a:off x="4985317" y="7289346"/>
          <a:ext cx="350044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154781</xdr:colOff>
      <xdr:row>58</xdr:row>
      <xdr:rowOff>104775</xdr:rowOff>
    </xdr:from>
    <xdr:to>
      <xdr:col>2</xdr:col>
      <xdr:colOff>504825</xdr:colOff>
      <xdr:row>58</xdr:row>
      <xdr:rowOff>104775</xdr:rowOff>
    </xdr:to>
    <xdr:cxnSp macro="">
      <xdr:nvCxnSpPr>
        <xdr:cNvPr id="132" name="131 Conector recto">
          <a:extLst>
            <a:ext uri="{FF2B5EF4-FFF2-40B4-BE49-F238E27FC236}">
              <a16:creationId xmlns:a16="http://schemas.microsoft.com/office/drawing/2014/main" id="{5CE0745C-77DD-C587-9929-70A917C1FC6C}"/>
            </a:ext>
          </a:extLst>
        </xdr:cNvPr>
        <xdr:cNvCxnSpPr/>
      </xdr:nvCxnSpPr>
      <xdr:spPr>
        <a:xfrm>
          <a:off x="4985317" y="7493454"/>
          <a:ext cx="350044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154781</xdr:colOff>
      <xdr:row>59</xdr:row>
      <xdr:rowOff>104775</xdr:rowOff>
    </xdr:from>
    <xdr:to>
      <xdr:col>2</xdr:col>
      <xdr:colOff>504825</xdr:colOff>
      <xdr:row>59</xdr:row>
      <xdr:rowOff>104775</xdr:rowOff>
    </xdr:to>
    <xdr:cxnSp macro="">
      <xdr:nvCxnSpPr>
        <xdr:cNvPr id="133" name="132 Conector recto">
          <a:extLst>
            <a:ext uri="{FF2B5EF4-FFF2-40B4-BE49-F238E27FC236}">
              <a16:creationId xmlns:a16="http://schemas.microsoft.com/office/drawing/2014/main" id="{A66C6B0E-7B16-7928-8E58-C2B485F93B12}"/>
            </a:ext>
          </a:extLst>
        </xdr:cNvPr>
        <xdr:cNvCxnSpPr/>
      </xdr:nvCxnSpPr>
      <xdr:spPr>
        <a:xfrm>
          <a:off x="4985317" y="7697561"/>
          <a:ext cx="350044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154781</xdr:colOff>
      <xdr:row>60</xdr:row>
      <xdr:rowOff>104775</xdr:rowOff>
    </xdr:from>
    <xdr:to>
      <xdr:col>2</xdr:col>
      <xdr:colOff>504825</xdr:colOff>
      <xdr:row>60</xdr:row>
      <xdr:rowOff>104775</xdr:rowOff>
    </xdr:to>
    <xdr:cxnSp macro="">
      <xdr:nvCxnSpPr>
        <xdr:cNvPr id="134" name="133 Conector recto">
          <a:extLst>
            <a:ext uri="{FF2B5EF4-FFF2-40B4-BE49-F238E27FC236}">
              <a16:creationId xmlns:a16="http://schemas.microsoft.com/office/drawing/2014/main" id="{12DB55E0-D6D8-B798-A22D-5EE148BB3C01}"/>
            </a:ext>
          </a:extLst>
        </xdr:cNvPr>
        <xdr:cNvCxnSpPr/>
      </xdr:nvCxnSpPr>
      <xdr:spPr>
        <a:xfrm>
          <a:off x="4985317" y="7901668"/>
          <a:ext cx="350044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154781</xdr:colOff>
      <xdr:row>61</xdr:row>
      <xdr:rowOff>104775</xdr:rowOff>
    </xdr:from>
    <xdr:to>
      <xdr:col>2</xdr:col>
      <xdr:colOff>504825</xdr:colOff>
      <xdr:row>61</xdr:row>
      <xdr:rowOff>104775</xdr:rowOff>
    </xdr:to>
    <xdr:cxnSp macro="">
      <xdr:nvCxnSpPr>
        <xdr:cNvPr id="135" name="134 Conector recto">
          <a:extLst>
            <a:ext uri="{FF2B5EF4-FFF2-40B4-BE49-F238E27FC236}">
              <a16:creationId xmlns:a16="http://schemas.microsoft.com/office/drawing/2014/main" id="{369BDA28-E37C-A981-4766-53376D46C494}"/>
            </a:ext>
          </a:extLst>
        </xdr:cNvPr>
        <xdr:cNvCxnSpPr/>
      </xdr:nvCxnSpPr>
      <xdr:spPr>
        <a:xfrm>
          <a:off x="4985317" y="8105775"/>
          <a:ext cx="350044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154781</xdr:colOff>
      <xdr:row>62</xdr:row>
      <xdr:rowOff>104775</xdr:rowOff>
    </xdr:from>
    <xdr:to>
      <xdr:col>2</xdr:col>
      <xdr:colOff>504825</xdr:colOff>
      <xdr:row>62</xdr:row>
      <xdr:rowOff>104775</xdr:rowOff>
    </xdr:to>
    <xdr:cxnSp macro="">
      <xdr:nvCxnSpPr>
        <xdr:cNvPr id="136" name="135 Conector recto">
          <a:extLst>
            <a:ext uri="{FF2B5EF4-FFF2-40B4-BE49-F238E27FC236}">
              <a16:creationId xmlns:a16="http://schemas.microsoft.com/office/drawing/2014/main" id="{20C52822-268A-28E2-13ED-3EF01E80AF7F}"/>
            </a:ext>
          </a:extLst>
        </xdr:cNvPr>
        <xdr:cNvCxnSpPr/>
      </xdr:nvCxnSpPr>
      <xdr:spPr>
        <a:xfrm>
          <a:off x="4985317" y="8309882"/>
          <a:ext cx="350044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95250</xdr:colOff>
      <xdr:row>48</xdr:row>
      <xdr:rowOff>47625</xdr:rowOff>
    </xdr:from>
    <xdr:to>
      <xdr:col>2</xdr:col>
      <xdr:colOff>466725</xdr:colOff>
      <xdr:row>48</xdr:row>
      <xdr:rowOff>152400</xdr:rowOff>
    </xdr:to>
    <xdr:grpSp>
      <xdr:nvGrpSpPr>
        <xdr:cNvPr id="149687" name="85 Grupo">
          <a:extLst>
            <a:ext uri="{FF2B5EF4-FFF2-40B4-BE49-F238E27FC236}">
              <a16:creationId xmlns:a16="http://schemas.microsoft.com/office/drawing/2014/main" id="{44A2D4E8-B6EF-A7D7-B79D-F613DE14ABCB}"/>
            </a:ext>
          </a:extLst>
        </xdr:cNvPr>
        <xdr:cNvGrpSpPr>
          <a:grpSpLocks/>
        </xdr:cNvGrpSpPr>
      </xdr:nvGrpSpPr>
      <xdr:grpSpPr bwMode="auto">
        <a:xfrm>
          <a:off x="4962525" y="9896475"/>
          <a:ext cx="371475" cy="104775"/>
          <a:chOff x="8447314" y="557404"/>
          <a:chExt cx="2286006" cy="710782"/>
        </a:xfrm>
      </xdr:grpSpPr>
      <xdr:cxnSp macro="">
        <xdr:nvCxnSpPr>
          <xdr:cNvPr id="143" name="142 Conector recto">
            <a:extLst>
              <a:ext uri="{FF2B5EF4-FFF2-40B4-BE49-F238E27FC236}">
                <a16:creationId xmlns:a16="http://schemas.microsoft.com/office/drawing/2014/main" id="{B1552A50-330F-187A-C701-2F103E7F103A}"/>
              </a:ext>
            </a:extLst>
          </xdr:cNvPr>
          <xdr:cNvCxnSpPr/>
        </xdr:nvCxnSpPr>
        <xdr:spPr>
          <a:xfrm>
            <a:off x="8447314" y="686637"/>
            <a:ext cx="410309" cy="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144" name="143 Conector recto">
            <a:extLst>
              <a:ext uri="{FF2B5EF4-FFF2-40B4-BE49-F238E27FC236}">
                <a16:creationId xmlns:a16="http://schemas.microsoft.com/office/drawing/2014/main" id="{F4B47FCC-C7AC-CA52-2958-111BBB879A65}"/>
              </a:ext>
            </a:extLst>
          </xdr:cNvPr>
          <xdr:cNvCxnSpPr/>
        </xdr:nvCxnSpPr>
        <xdr:spPr>
          <a:xfrm>
            <a:off x="8857623" y="686637"/>
            <a:ext cx="644771" cy="581549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145" name="144 Conector recto">
            <a:extLst>
              <a:ext uri="{FF2B5EF4-FFF2-40B4-BE49-F238E27FC236}">
                <a16:creationId xmlns:a16="http://schemas.microsoft.com/office/drawing/2014/main" id="{8BC0F238-026F-2C3D-9FC8-42B6A8648416}"/>
              </a:ext>
            </a:extLst>
          </xdr:cNvPr>
          <xdr:cNvCxnSpPr/>
        </xdr:nvCxnSpPr>
        <xdr:spPr>
          <a:xfrm flipV="1">
            <a:off x="9502394" y="1268186"/>
            <a:ext cx="1230926" cy="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146" name="145 Conector recto">
            <a:extLst>
              <a:ext uri="{FF2B5EF4-FFF2-40B4-BE49-F238E27FC236}">
                <a16:creationId xmlns:a16="http://schemas.microsoft.com/office/drawing/2014/main" id="{1E4F0651-F293-2340-9A15-65F369917ECD}"/>
              </a:ext>
            </a:extLst>
          </xdr:cNvPr>
          <xdr:cNvCxnSpPr/>
        </xdr:nvCxnSpPr>
        <xdr:spPr>
          <a:xfrm flipV="1">
            <a:off x="10733320" y="557404"/>
            <a:ext cx="0" cy="710782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2</xdr:col>
      <xdr:colOff>95250</xdr:colOff>
      <xdr:row>49</xdr:row>
      <xdr:rowOff>47625</xdr:rowOff>
    </xdr:from>
    <xdr:to>
      <xdr:col>2</xdr:col>
      <xdr:colOff>466725</xdr:colOff>
      <xdr:row>49</xdr:row>
      <xdr:rowOff>152400</xdr:rowOff>
    </xdr:to>
    <xdr:grpSp>
      <xdr:nvGrpSpPr>
        <xdr:cNvPr id="149688" name="85 Grupo">
          <a:extLst>
            <a:ext uri="{FF2B5EF4-FFF2-40B4-BE49-F238E27FC236}">
              <a16:creationId xmlns:a16="http://schemas.microsoft.com/office/drawing/2014/main" id="{610EEEEC-D11F-51F7-9158-8B83D9B4B87C}"/>
            </a:ext>
          </a:extLst>
        </xdr:cNvPr>
        <xdr:cNvGrpSpPr>
          <a:grpSpLocks/>
        </xdr:cNvGrpSpPr>
      </xdr:nvGrpSpPr>
      <xdr:grpSpPr bwMode="auto">
        <a:xfrm>
          <a:off x="4962525" y="10096500"/>
          <a:ext cx="371475" cy="104775"/>
          <a:chOff x="8447314" y="557404"/>
          <a:chExt cx="2286006" cy="710782"/>
        </a:xfrm>
      </xdr:grpSpPr>
      <xdr:cxnSp macro="">
        <xdr:nvCxnSpPr>
          <xdr:cNvPr id="148" name="147 Conector recto">
            <a:extLst>
              <a:ext uri="{FF2B5EF4-FFF2-40B4-BE49-F238E27FC236}">
                <a16:creationId xmlns:a16="http://schemas.microsoft.com/office/drawing/2014/main" id="{7C6EB479-2C08-E5A5-9150-F7D8F07F9E32}"/>
              </a:ext>
            </a:extLst>
          </xdr:cNvPr>
          <xdr:cNvCxnSpPr/>
        </xdr:nvCxnSpPr>
        <xdr:spPr>
          <a:xfrm>
            <a:off x="8447314" y="686637"/>
            <a:ext cx="410309" cy="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149" name="148 Conector recto">
            <a:extLst>
              <a:ext uri="{FF2B5EF4-FFF2-40B4-BE49-F238E27FC236}">
                <a16:creationId xmlns:a16="http://schemas.microsoft.com/office/drawing/2014/main" id="{E68479CE-0FE1-0964-B08E-226FC7D2F02F}"/>
              </a:ext>
            </a:extLst>
          </xdr:cNvPr>
          <xdr:cNvCxnSpPr/>
        </xdr:nvCxnSpPr>
        <xdr:spPr>
          <a:xfrm>
            <a:off x="8857623" y="686637"/>
            <a:ext cx="644771" cy="581549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150" name="149 Conector recto">
            <a:extLst>
              <a:ext uri="{FF2B5EF4-FFF2-40B4-BE49-F238E27FC236}">
                <a16:creationId xmlns:a16="http://schemas.microsoft.com/office/drawing/2014/main" id="{FD352F20-3A07-8C86-21F1-2E19E5056FED}"/>
              </a:ext>
            </a:extLst>
          </xdr:cNvPr>
          <xdr:cNvCxnSpPr/>
        </xdr:nvCxnSpPr>
        <xdr:spPr>
          <a:xfrm flipV="1">
            <a:off x="9502394" y="1268186"/>
            <a:ext cx="1230926" cy="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151" name="150 Conector recto">
            <a:extLst>
              <a:ext uri="{FF2B5EF4-FFF2-40B4-BE49-F238E27FC236}">
                <a16:creationId xmlns:a16="http://schemas.microsoft.com/office/drawing/2014/main" id="{5CA20B50-9EF7-70C9-3333-7F61745F79A4}"/>
              </a:ext>
            </a:extLst>
          </xdr:cNvPr>
          <xdr:cNvCxnSpPr/>
        </xdr:nvCxnSpPr>
        <xdr:spPr>
          <a:xfrm flipV="1">
            <a:off x="10733320" y="557404"/>
            <a:ext cx="0" cy="710782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2</xdr:col>
      <xdr:colOff>209550</xdr:colOff>
      <xdr:row>70</xdr:row>
      <xdr:rowOff>28575</xdr:rowOff>
    </xdr:from>
    <xdr:to>
      <xdr:col>2</xdr:col>
      <xdr:colOff>523875</xdr:colOff>
      <xdr:row>70</xdr:row>
      <xdr:rowOff>161925</xdr:rowOff>
    </xdr:to>
    <xdr:grpSp>
      <xdr:nvGrpSpPr>
        <xdr:cNvPr id="149689" name="137 Grupo">
          <a:extLst>
            <a:ext uri="{FF2B5EF4-FFF2-40B4-BE49-F238E27FC236}">
              <a16:creationId xmlns:a16="http://schemas.microsoft.com/office/drawing/2014/main" id="{BC100FC8-48BC-0330-C1A4-5E29CDC8B649}"/>
            </a:ext>
          </a:extLst>
        </xdr:cNvPr>
        <xdr:cNvGrpSpPr>
          <a:grpSpLocks/>
        </xdr:cNvGrpSpPr>
      </xdr:nvGrpSpPr>
      <xdr:grpSpPr bwMode="auto">
        <a:xfrm>
          <a:off x="5076825" y="14277975"/>
          <a:ext cx="314325" cy="133350"/>
          <a:chOff x="4704169" y="631035"/>
          <a:chExt cx="314313" cy="133351"/>
        </a:xfrm>
      </xdr:grpSpPr>
      <xdr:sp macro="" textlink="">
        <xdr:nvSpPr>
          <xdr:cNvPr id="149963" name="Line 46">
            <a:extLst>
              <a:ext uri="{FF2B5EF4-FFF2-40B4-BE49-F238E27FC236}">
                <a16:creationId xmlns:a16="http://schemas.microsoft.com/office/drawing/2014/main" id="{D0955D23-A948-2376-78EB-2232A220F0C2}"/>
              </a:ext>
            </a:extLst>
          </xdr:cNvPr>
          <xdr:cNvSpPr>
            <a:spLocks noChangeShapeType="1"/>
          </xdr:cNvSpPr>
        </xdr:nvSpPr>
        <xdr:spPr bwMode="auto">
          <a:xfrm>
            <a:off x="4707729" y="697708"/>
            <a:ext cx="304800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cxnSp macro="">
        <xdr:nvCxnSpPr>
          <xdr:cNvPr id="154" name="153 Conector recto">
            <a:extLst>
              <a:ext uri="{FF2B5EF4-FFF2-40B4-BE49-F238E27FC236}">
                <a16:creationId xmlns:a16="http://schemas.microsoft.com/office/drawing/2014/main" id="{A14EDB74-4415-207D-6C04-1F7121B54629}"/>
              </a:ext>
            </a:extLst>
          </xdr:cNvPr>
          <xdr:cNvCxnSpPr/>
        </xdr:nvCxnSpPr>
        <xdr:spPr>
          <a:xfrm rot="5400000" flipH="1" flipV="1">
            <a:off x="4985144" y="664373"/>
            <a:ext cx="66676" cy="0"/>
          </a:xfrm>
          <a:prstGeom prst="line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55" name="154 Conector recto">
            <a:extLst>
              <a:ext uri="{FF2B5EF4-FFF2-40B4-BE49-F238E27FC236}">
                <a16:creationId xmlns:a16="http://schemas.microsoft.com/office/drawing/2014/main" id="{E999FE88-5E9E-89E6-A4B9-9A25A5172239}"/>
              </a:ext>
            </a:extLst>
          </xdr:cNvPr>
          <xdr:cNvCxnSpPr/>
        </xdr:nvCxnSpPr>
        <xdr:spPr>
          <a:xfrm rot="5400000" flipH="1" flipV="1">
            <a:off x="4670831" y="731049"/>
            <a:ext cx="66676" cy="0"/>
          </a:xfrm>
          <a:prstGeom prst="line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</xdr:col>
      <xdr:colOff>209550</xdr:colOff>
      <xdr:row>71</xdr:row>
      <xdr:rowOff>38100</xdr:rowOff>
    </xdr:from>
    <xdr:to>
      <xdr:col>2</xdr:col>
      <xdr:colOff>419100</xdr:colOff>
      <xdr:row>71</xdr:row>
      <xdr:rowOff>161925</xdr:rowOff>
    </xdr:to>
    <xdr:grpSp>
      <xdr:nvGrpSpPr>
        <xdr:cNvPr id="149690" name="151 Grupo">
          <a:extLst>
            <a:ext uri="{FF2B5EF4-FFF2-40B4-BE49-F238E27FC236}">
              <a16:creationId xmlns:a16="http://schemas.microsoft.com/office/drawing/2014/main" id="{9C5A68FA-2087-2A30-05A0-3D4376F29BE6}"/>
            </a:ext>
          </a:extLst>
        </xdr:cNvPr>
        <xdr:cNvGrpSpPr>
          <a:grpSpLocks/>
        </xdr:cNvGrpSpPr>
      </xdr:nvGrpSpPr>
      <xdr:grpSpPr bwMode="auto">
        <a:xfrm>
          <a:off x="5076825" y="14487525"/>
          <a:ext cx="209550" cy="123825"/>
          <a:chOff x="6662421" y="677472"/>
          <a:chExt cx="165821" cy="71226"/>
        </a:xfrm>
      </xdr:grpSpPr>
      <xdr:cxnSp macro="">
        <xdr:nvCxnSpPr>
          <xdr:cNvPr id="157" name="156 Conector recto">
            <a:extLst>
              <a:ext uri="{FF2B5EF4-FFF2-40B4-BE49-F238E27FC236}">
                <a16:creationId xmlns:a16="http://schemas.microsoft.com/office/drawing/2014/main" id="{76B6E66D-6BFE-BB62-77A6-A51AF44EC18A}"/>
              </a:ext>
            </a:extLst>
          </xdr:cNvPr>
          <xdr:cNvCxnSpPr/>
        </xdr:nvCxnSpPr>
        <xdr:spPr>
          <a:xfrm rot="5400000" flipH="1" flipV="1">
            <a:off x="6626808" y="713085"/>
            <a:ext cx="71226" cy="0"/>
          </a:xfrm>
          <a:prstGeom prst="line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58" name="157 Conector recto">
            <a:extLst>
              <a:ext uri="{FF2B5EF4-FFF2-40B4-BE49-F238E27FC236}">
                <a16:creationId xmlns:a16="http://schemas.microsoft.com/office/drawing/2014/main" id="{0C9EF4F0-48A2-3E8B-D65C-5B38FE5F961A}"/>
              </a:ext>
            </a:extLst>
          </xdr:cNvPr>
          <xdr:cNvCxnSpPr/>
        </xdr:nvCxnSpPr>
        <xdr:spPr>
          <a:xfrm rot="5400000" flipH="1" flipV="1">
            <a:off x="6792629" y="713085"/>
            <a:ext cx="71226" cy="0"/>
          </a:xfrm>
          <a:prstGeom prst="line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59" name="158 Conector recto">
            <a:extLst>
              <a:ext uri="{FF2B5EF4-FFF2-40B4-BE49-F238E27FC236}">
                <a16:creationId xmlns:a16="http://schemas.microsoft.com/office/drawing/2014/main" id="{F8CA22DC-0DA8-6AAF-8980-7F83BB98A3F9}"/>
              </a:ext>
            </a:extLst>
          </xdr:cNvPr>
          <xdr:cNvCxnSpPr/>
        </xdr:nvCxnSpPr>
        <xdr:spPr>
          <a:xfrm flipH="1" flipV="1">
            <a:off x="6775481" y="721303"/>
            <a:ext cx="30149" cy="27395"/>
          </a:xfrm>
          <a:prstGeom prst="line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60" name="159 Conector recto">
            <a:extLst>
              <a:ext uri="{FF2B5EF4-FFF2-40B4-BE49-F238E27FC236}">
                <a16:creationId xmlns:a16="http://schemas.microsoft.com/office/drawing/2014/main" id="{FE0FBF9B-AEF2-1C33-9B76-5025914F2AC4}"/>
              </a:ext>
            </a:extLst>
          </xdr:cNvPr>
          <xdr:cNvCxnSpPr/>
        </xdr:nvCxnSpPr>
        <xdr:spPr>
          <a:xfrm flipH="1" flipV="1">
            <a:off x="6790555" y="704867"/>
            <a:ext cx="37687" cy="27395"/>
          </a:xfrm>
          <a:prstGeom prst="line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149961" name="Line 46">
            <a:extLst>
              <a:ext uri="{FF2B5EF4-FFF2-40B4-BE49-F238E27FC236}">
                <a16:creationId xmlns:a16="http://schemas.microsoft.com/office/drawing/2014/main" id="{BAB0B046-D104-9F60-298E-D68027C7B1DA}"/>
              </a:ext>
            </a:extLst>
          </xdr:cNvPr>
          <xdr:cNvSpPr>
            <a:spLocks noChangeShapeType="1"/>
          </xdr:cNvSpPr>
        </xdr:nvSpPr>
        <xdr:spPr bwMode="auto">
          <a:xfrm flipV="1">
            <a:off x="6667926" y="681037"/>
            <a:ext cx="159117" cy="194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49962" name="Line 46">
            <a:extLst>
              <a:ext uri="{FF2B5EF4-FFF2-40B4-BE49-F238E27FC236}">
                <a16:creationId xmlns:a16="http://schemas.microsoft.com/office/drawing/2014/main" id="{9B5785DC-59DB-ADD2-C008-D833878136A2}"/>
              </a:ext>
            </a:extLst>
          </xdr:cNvPr>
          <xdr:cNvSpPr>
            <a:spLocks noChangeShapeType="1"/>
          </xdr:cNvSpPr>
        </xdr:nvSpPr>
        <xdr:spPr bwMode="auto">
          <a:xfrm flipV="1">
            <a:off x="6667938" y="747713"/>
            <a:ext cx="159105" cy="985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2</xdr:col>
      <xdr:colOff>209550</xdr:colOff>
      <xdr:row>72</xdr:row>
      <xdr:rowOff>28575</xdr:rowOff>
    </xdr:from>
    <xdr:to>
      <xdr:col>2</xdr:col>
      <xdr:colOff>523875</xdr:colOff>
      <xdr:row>72</xdr:row>
      <xdr:rowOff>161925</xdr:rowOff>
    </xdr:to>
    <xdr:grpSp>
      <xdr:nvGrpSpPr>
        <xdr:cNvPr id="149691" name="137 Grupo">
          <a:extLst>
            <a:ext uri="{FF2B5EF4-FFF2-40B4-BE49-F238E27FC236}">
              <a16:creationId xmlns:a16="http://schemas.microsoft.com/office/drawing/2014/main" id="{96C92E3F-39C9-0690-DD7E-061F69A84534}"/>
            </a:ext>
          </a:extLst>
        </xdr:cNvPr>
        <xdr:cNvGrpSpPr>
          <a:grpSpLocks/>
        </xdr:cNvGrpSpPr>
      </xdr:nvGrpSpPr>
      <xdr:grpSpPr bwMode="auto">
        <a:xfrm>
          <a:off x="5076825" y="14678025"/>
          <a:ext cx="314325" cy="133350"/>
          <a:chOff x="4704169" y="631035"/>
          <a:chExt cx="314313" cy="133351"/>
        </a:xfrm>
      </xdr:grpSpPr>
      <xdr:sp macro="" textlink="">
        <xdr:nvSpPr>
          <xdr:cNvPr id="149954" name="Line 46">
            <a:extLst>
              <a:ext uri="{FF2B5EF4-FFF2-40B4-BE49-F238E27FC236}">
                <a16:creationId xmlns:a16="http://schemas.microsoft.com/office/drawing/2014/main" id="{BDFECA85-D89C-189B-D303-8E03C1E0EE69}"/>
              </a:ext>
            </a:extLst>
          </xdr:cNvPr>
          <xdr:cNvSpPr>
            <a:spLocks noChangeShapeType="1"/>
          </xdr:cNvSpPr>
        </xdr:nvSpPr>
        <xdr:spPr bwMode="auto">
          <a:xfrm>
            <a:off x="4707729" y="697708"/>
            <a:ext cx="304800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cxnSp macro="">
        <xdr:nvCxnSpPr>
          <xdr:cNvPr id="165" name="164 Conector recto">
            <a:extLst>
              <a:ext uri="{FF2B5EF4-FFF2-40B4-BE49-F238E27FC236}">
                <a16:creationId xmlns:a16="http://schemas.microsoft.com/office/drawing/2014/main" id="{41D026BE-31ED-230B-C455-EBBF076002BB}"/>
              </a:ext>
            </a:extLst>
          </xdr:cNvPr>
          <xdr:cNvCxnSpPr/>
        </xdr:nvCxnSpPr>
        <xdr:spPr>
          <a:xfrm rot="5400000" flipH="1" flipV="1">
            <a:off x="4985144" y="664373"/>
            <a:ext cx="66676" cy="0"/>
          </a:xfrm>
          <a:prstGeom prst="line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66" name="165 Conector recto">
            <a:extLst>
              <a:ext uri="{FF2B5EF4-FFF2-40B4-BE49-F238E27FC236}">
                <a16:creationId xmlns:a16="http://schemas.microsoft.com/office/drawing/2014/main" id="{2AD1D632-CEA6-CB4E-BEA4-D09DB7D37061}"/>
              </a:ext>
            </a:extLst>
          </xdr:cNvPr>
          <xdr:cNvCxnSpPr/>
        </xdr:nvCxnSpPr>
        <xdr:spPr>
          <a:xfrm rot="5400000" flipH="1" flipV="1">
            <a:off x="4670831" y="731049"/>
            <a:ext cx="66676" cy="0"/>
          </a:xfrm>
          <a:prstGeom prst="line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</xdr:col>
      <xdr:colOff>209550</xdr:colOff>
      <xdr:row>73</xdr:row>
      <xdr:rowOff>38100</xdr:rowOff>
    </xdr:from>
    <xdr:to>
      <xdr:col>2</xdr:col>
      <xdr:colOff>419100</xdr:colOff>
      <xdr:row>73</xdr:row>
      <xdr:rowOff>161925</xdr:rowOff>
    </xdr:to>
    <xdr:grpSp>
      <xdr:nvGrpSpPr>
        <xdr:cNvPr id="149692" name="151 Grupo">
          <a:extLst>
            <a:ext uri="{FF2B5EF4-FFF2-40B4-BE49-F238E27FC236}">
              <a16:creationId xmlns:a16="http://schemas.microsoft.com/office/drawing/2014/main" id="{BC65F915-0087-1008-4502-35069053FF95}"/>
            </a:ext>
          </a:extLst>
        </xdr:cNvPr>
        <xdr:cNvGrpSpPr>
          <a:grpSpLocks/>
        </xdr:cNvGrpSpPr>
      </xdr:nvGrpSpPr>
      <xdr:grpSpPr bwMode="auto">
        <a:xfrm>
          <a:off x="5076825" y="14887575"/>
          <a:ext cx="209550" cy="123825"/>
          <a:chOff x="6662421" y="677472"/>
          <a:chExt cx="165821" cy="71226"/>
        </a:xfrm>
      </xdr:grpSpPr>
      <xdr:cxnSp macro="">
        <xdr:nvCxnSpPr>
          <xdr:cNvPr id="168" name="167 Conector recto">
            <a:extLst>
              <a:ext uri="{FF2B5EF4-FFF2-40B4-BE49-F238E27FC236}">
                <a16:creationId xmlns:a16="http://schemas.microsoft.com/office/drawing/2014/main" id="{39E78078-E30D-212F-9509-4B13D957368A}"/>
              </a:ext>
            </a:extLst>
          </xdr:cNvPr>
          <xdr:cNvCxnSpPr/>
        </xdr:nvCxnSpPr>
        <xdr:spPr>
          <a:xfrm rot="5400000" flipH="1" flipV="1">
            <a:off x="6626808" y="713085"/>
            <a:ext cx="71226" cy="0"/>
          </a:xfrm>
          <a:prstGeom prst="line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69" name="168 Conector recto">
            <a:extLst>
              <a:ext uri="{FF2B5EF4-FFF2-40B4-BE49-F238E27FC236}">
                <a16:creationId xmlns:a16="http://schemas.microsoft.com/office/drawing/2014/main" id="{F280165F-44B2-8DB9-3DA5-3E4B8E809C3D}"/>
              </a:ext>
            </a:extLst>
          </xdr:cNvPr>
          <xdr:cNvCxnSpPr/>
        </xdr:nvCxnSpPr>
        <xdr:spPr>
          <a:xfrm rot="5400000" flipH="1" flipV="1">
            <a:off x="6792629" y="713085"/>
            <a:ext cx="71226" cy="0"/>
          </a:xfrm>
          <a:prstGeom prst="line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70" name="169 Conector recto">
            <a:extLst>
              <a:ext uri="{FF2B5EF4-FFF2-40B4-BE49-F238E27FC236}">
                <a16:creationId xmlns:a16="http://schemas.microsoft.com/office/drawing/2014/main" id="{0EA4B82E-DB3A-D8AD-7B53-E54CEB99922D}"/>
              </a:ext>
            </a:extLst>
          </xdr:cNvPr>
          <xdr:cNvCxnSpPr/>
        </xdr:nvCxnSpPr>
        <xdr:spPr>
          <a:xfrm flipH="1" flipV="1">
            <a:off x="6775481" y="721303"/>
            <a:ext cx="30149" cy="27395"/>
          </a:xfrm>
          <a:prstGeom prst="line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71" name="170 Conector recto">
            <a:extLst>
              <a:ext uri="{FF2B5EF4-FFF2-40B4-BE49-F238E27FC236}">
                <a16:creationId xmlns:a16="http://schemas.microsoft.com/office/drawing/2014/main" id="{0C7574C0-FE10-BD4F-3659-6C1FD21D186F}"/>
              </a:ext>
            </a:extLst>
          </xdr:cNvPr>
          <xdr:cNvCxnSpPr/>
        </xdr:nvCxnSpPr>
        <xdr:spPr>
          <a:xfrm flipH="1" flipV="1">
            <a:off x="6790555" y="704867"/>
            <a:ext cx="37687" cy="27395"/>
          </a:xfrm>
          <a:prstGeom prst="line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149952" name="Line 46">
            <a:extLst>
              <a:ext uri="{FF2B5EF4-FFF2-40B4-BE49-F238E27FC236}">
                <a16:creationId xmlns:a16="http://schemas.microsoft.com/office/drawing/2014/main" id="{66BF9F9B-89EB-8A1B-AEA2-655A0CA85496}"/>
              </a:ext>
            </a:extLst>
          </xdr:cNvPr>
          <xdr:cNvSpPr>
            <a:spLocks noChangeShapeType="1"/>
          </xdr:cNvSpPr>
        </xdr:nvSpPr>
        <xdr:spPr bwMode="auto">
          <a:xfrm flipV="1">
            <a:off x="6667926" y="681037"/>
            <a:ext cx="159117" cy="194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49953" name="Line 46">
            <a:extLst>
              <a:ext uri="{FF2B5EF4-FFF2-40B4-BE49-F238E27FC236}">
                <a16:creationId xmlns:a16="http://schemas.microsoft.com/office/drawing/2014/main" id="{459CF829-3B1B-D75E-D856-BCA96B75BDE2}"/>
              </a:ext>
            </a:extLst>
          </xdr:cNvPr>
          <xdr:cNvSpPr>
            <a:spLocks noChangeShapeType="1"/>
          </xdr:cNvSpPr>
        </xdr:nvSpPr>
        <xdr:spPr bwMode="auto">
          <a:xfrm flipV="1">
            <a:off x="6667938" y="747713"/>
            <a:ext cx="159105" cy="985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2</xdr:col>
      <xdr:colOff>95250</xdr:colOff>
      <xdr:row>75</xdr:row>
      <xdr:rowOff>76200</xdr:rowOff>
    </xdr:from>
    <xdr:to>
      <xdr:col>2</xdr:col>
      <xdr:colOff>495300</xdr:colOff>
      <xdr:row>75</xdr:row>
      <xdr:rowOff>142875</xdr:rowOff>
    </xdr:to>
    <xdr:grpSp>
      <xdr:nvGrpSpPr>
        <xdr:cNvPr id="149693" name="285 Grupo">
          <a:extLst>
            <a:ext uri="{FF2B5EF4-FFF2-40B4-BE49-F238E27FC236}">
              <a16:creationId xmlns:a16="http://schemas.microsoft.com/office/drawing/2014/main" id="{1AB6EE76-F52C-AF67-FD71-628C9A131D33}"/>
            </a:ext>
          </a:extLst>
        </xdr:cNvPr>
        <xdr:cNvGrpSpPr>
          <a:grpSpLocks/>
        </xdr:cNvGrpSpPr>
      </xdr:nvGrpSpPr>
      <xdr:grpSpPr bwMode="auto">
        <a:xfrm>
          <a:off x="4962525" y="15325725"/>
          <a:ext cx="400050" cy="66675"/>
          <a:chOff x="4041542" y="677472"/>
          <a:chExt cx="400879" cy="69058"/>
        </a:xfrm>
      </xdr:grpSpPr>
      <xdr:sp macro="" textlink="">
        <xdr:nvSpPr>
          <xdr:cNvPr id="149945" name="Line 46">
            <a:extLst>
              <a:ext uri="{FF2B5EF4-FFF2-40B4-BE49-F238E27FC236}">
                <a16:creationId xmlns:a16="http://schemas.microsoft.com/office/drawing/2014/main" id="{1F96F230-98A5-1A28-A23C-8229145CACFA}"/>
              </a:ext>
            </a:extLst>
          </xdr:cNvPr>
          <xdr:cNvSpPr>
            <a:spLocks noChangeShapeType="1"/>
          </xdr:cNvSpPr>
        </xdr:nvSpPr>
        <xdr:spPr bwMode="auto">
          <a:xfrm>
            <a:off x="4048125" y="682136"/>
            <a:ext cx="392723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cxnSp macro="">
        <xdr:nvCxnSpPr>
          <xdr:cNvPr id="191" name="190 Conector recto">
            <a:extLst>
              <a:ext uri="{FF2B5EF4-FFF2-40B4-BE49-F238E27FC236}">
                <a16:creationId xmlns:a16="http://schemas.microsoft.com/office/drawing/2014/main" id="{68EB2497-36ED-7160-681B-D6D6CACCA212}"/>
              </a:ext>
            </a:extLst>
          </xdr:cNvPr>
          <xdr:cNvCxnSpPr/>
        </xdr:nvCxnSpPr>
        <xdr:spPr>
          <a:xfrm rot="5400000" flipH="1" flipV="1">
            <a:off x="4007012" y="712002"/>
            <a:ext cx="69058" cy="0"/>
          </a:xfrm>
          <a:prstGeom prst="line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92" name="191 Conector recto">
            <a:extLst>
              <a:ext uri="{FF2B5EF4-FFF2-40B4-BE49-F238E27FC236}">
                <a16:creationId xmlns:a16="http://schemas.microsoft.com/office/drawing/2014/main" id="{269BCD21-F588-1CA6-7DFB-D72A66241A49}"/>
              </a:ext>
            </a:extLst>
          </xdr:cNvPr>
          <xdr:cNvCxnSpPr/>
        </xdr:nvCxnSpPr>
        <xdr:spPr>
          <a:xfrm rot="5400000" flipH="1" flipV="1">
            <a:off x="4407891" y="712002"/>
            <a:ext cx="69058" cy="0"/>
          </a:xfrm>
          <a:prstGeom prst="line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</xdr:col>
      <xdr:colOff>209550</xdr:colOff>
      <xdr:row>76</xdr:row>
      <xdr:rowOff>38100</xdr:rowOff>
    </xdr:from>
    <xdr:to>
      <xdr:col>2</xdr:col>
      <xdr:colOff>419100</xdr:colOff>
      <xdr:row>76</xdr:row>
      <xdr:rowOff>161925</xdr:rowOff>
    </xdr:to>
    <xdr:grpSp>
      <xdr:nvGrpSpPr>
        <xdr:cNvPr id="149694" name="289 Grupo">
          <a:extLst>
            <a:ext uri="{FF2B5EF4-FFF2-40B4-BE49-F238E27FC236}">
              <a16:creationId xmlns:a16="http://schemas.microsoft.com/office/drawing/2014/main" id="{5BCFB6BE-F5C7-10A2-2B49-59BA54964620}"/>
            </a:ext>
          </a:extLst>
        </xdr:cNvPr>
        <xdr:cNvGrpSpPr>
          <a:grpSpLocks/>
        </xdr:cNvGrpSpPr>
      </xdr:nvGrpSpPr>
      <xdr:grpSpPr bwMode="auto">
        <a:xfrm>
          <a:off x="5076825" y="15487650"/>
          <a:ext cx="209550" cy="123825"/>
          <a:chOff x="6662421" y="677472"/>
          <a:chExt cx="165821" cy="71226"/>
        </a:xfrm>
      </xdr:grpSpPr>
      <xdr:cxnSp macro="">
        <xdr:nvCxnSpPr>
          <xdr:cNvPr id="194" name="193 Conector recto">
            <a:extLst>
              <a:ext uri="{FF2B5EF4-FFF2-40B4-BE49-F238E27FC236}">
                <a16:creationId xmlns:a16="http://schemas.microsoft.com/office/drawing/2014/main" id="{AE41B03B-D504-7F62-EC39-7E48E445019F}"/>
              </a:ext>
            </a:extLst>
          </xdr:cNvPr>
          <xdr:cNvCxnSpPr/>
        </xdr:nvCxnSpPr>
        <xdr:spPr>
          <a:xfrm rot="5400000" flipH="1" flipV="1">
            <a:off x="6626808" y="713085"/>
            <a:ext cx="71226" cy="0"/>
          </a:xfrm>
          <a:prstGeom prst="line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95" name="194 Conector recto">
            <a:extLst>
              <a:ext uri="{FF2B5EF4-FFF2-40B4-BE49-F238E27FC236}">
                <a16:creationId xmlns:a16="http://schemas.microsoft.com/office/drawing/2014/main" id="{8D54F0BD-4D19-160D-E9A8-2C4E29C76B36}"/>
              </a:ext>
            </a:extLst>
          </xdr:cNvPr>
          <xdr:cNvCxnSpPr/>
        </xdr:nvCxnSpPr>
        <xdr:spPr>
          <a:xfrm rot="5400000" flipH="1" flipV="1">
            <a:off x="6792629" y="713085"/>
            <a:ext cx="71226" cy="0"/>
          </a:xfrm>
          <a:prstGeom prst="line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96" name="195 Conector recto">
            <a:extLst>
              <a:ext uri="{FF2B5EF4-FFF2-40B4-BE49-F238E27FC236}">
                <a16:creationId xmlns:a16="http://schemas.microsoft.com/office/drawing/2014/main" id="{96F205D1-E7DB-216D-7472-4809D9E16AB0}"/>
              </a:ext>
            </a:extLst>
          </xdr:cNvPr>
          <xdr:cNvCxnSpPr/>
        </xdr:nvCxnSpPr>
        <xdr:spPr>
          <a:xfrm flipH="1" flipV="1">
            <a:off x="6775481" y="721303"/>
            <a:ext cx="30149" cy="27395"/>
          </a:xfrm>
          <a:prstGeom prst="line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97" name="196 Conector recto">
            <a:extLst>
              <a:ext uri="{FF2B5EF4-FFF2-40B4-BE49-F238E27FC236}">
                <a16:creationId xmlns:a16="http://schemas.microsoft.com/office/drawing/2014/main" id="{29998FA7-E794-7393-BC91-3078C71FA644}"/>
              </a:ext>
            </a:extLst>
          </xdr:cNvPr>
          <xdr:cNvCxnSpPr/>
        </xdr:nvCxnSpPr>
        <xdr:spPr>
          <a:xfrm flipH="1" flipV="1">
            <a:off x="6790555" y="704867"/>
            <a:ext cx="37687" cy="27395"/>
          </a:xfrm>
          <a:prstGeom prst="line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149943" name="Line 46">
            <a:extLst>
              <a:ext uri="{FF2B5EF4-FFF2-40B4-BE49-F238E27FC236}">
                <a16:creationId xmlns:a16="http://schemas.microsoft.com/office/drawing/2014/main" id="{286ACE40-CEC6-6859-046F-4E3E4223A5BD}"/>
              </a:ext>
            </a:extLst>
          </xdr:cNvPr>
          <xdr:cNvSpPr>
            <a:spLocks noChangeShapeType="1"/>
          </xdr:cNvSpPr>
        </xdr:nvSpPr>
        <xdr:spPr bwMode="auto">
          <a:xfrm flipV="1">
            <a:off x="6667926" y="681037"/>
            <a:ext cx="159117" cy="194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49944" name="Line 46">
            <a:extLst>
              <a:ext uri="{FF2B5EF4-FFF2-40B4-BE49-F238E27FC236}">
                <a16:creationId xmlns:a16="http://schemas.microsoft.com/office/drawing/2014/main" id="{2A829382-DAFE-097F-A97F-43782FE615A5}"/>
              </a:ext>
            </a:extLst>
          </xdr:cNvPr>
          <xdr:cNvSpPr>
            <a:spLocks noChangeShapeType="1"/>
          </xdr:cNvSpPr>
        </xdr:nvSpPr>
        <xdr:spPr bwMode="auto">
          <a:xfrm flipV="1">
            <a:off x="6667938" y="747713"/>
            <a:ext cx="159105" cy="985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2</xdr:col>
      <xdr:colOff>95250</xdr:colOff>
      <xdr:row>79</xdr:row>
      <xdr:rowOff>76200</xdr:rowOff>
    </xdr:from>
    <xdr:to>
      <xdr:col>2</xdr:col>
      <xdr:colOff>495300</xdr:colOff>
      <xdr:row>79</xdr:row>
      <xdr:rowOff>142875</xdr:rowOff>
    </xdr:to>
    <xdr:grpSp>
      <xdr:nvGrpSpPr>
        <xdr:cNvPr id="149695" name="270 Grupo">
          <a:extLst>
            <a:ext uri="{FF2B5EF4-FFF2-40B4-BE49-F238E27FC236}">
              <a16:creationId xmlns:a16="http://schemas.microsoft.com/office/drawing/2014/main" id="{BC2FD380-6F36-F009-97C9-A9AAA4EFA297}"/>
            </a:ext>
          </a:extLst>
        </xdr:cNvPr>
        <xdr:cNvGrpSpPr>
          <a:grpSpLocks/>
        </xdr:cNvGrpSpPr>
      </xdr:nvGrpSpPr>
      <xdr:grpSpPr bwMode="auto">
        <a:xfrm>
          <a:off x="4962525" y="16125825"/>
          <a:ext cx="400050" cy="66675"/>
          <a:chOff x="4041542" y="677472"/>
          <a:chExt cx="400879" cy="69058"/>
        </a:xfrm>
      </xdr:grpSpPr>
      <xdr:sp macro="" textlink="">
        <xdr:nvSpPr>
          <xdr:cNvPr id="149936" name="Line 46">
            <a:extLst>
              <a:ext uri="{FF2B5EF4-FFF2-40B4-BE49-F238E27FC236}">
                <a16:creationId xmlns:a16="http://schemas.microsoft.com/office/drawing/2014/main" id="{40057ED5-5B66-6D11-1508-0916B738B83B}"/>
              </a:ext>
            </a:extLst>
          </xdr:cNvPr>
          <xdr:cNvSpPr>
            <a:spLocks noChangeShapeType="1"/>
          </xdr:cNvSpPr>
        </xdr:nvSpPr>
        <xdr:spPr bwMode="auto">
          <a:xfrm>
            <a:off x="4048125" y="682136"/>
            <a:ext cx="392723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cxnSp macro="">
        <xdr:nvCxnSpPr>
          <xdr:cNvPr id="202" name="201 Conector recto">
            <a:extLst>
              <a:ext uri="{FF2B5EF4-FFF2-40B4-BE49-F238E27FC236}">
                <a16:creationId xmlns:a16="http://schemas.microsoft.com/office/drawing/2014/main" id="{DB628938-0C57-7053-FFCE-ABCB73C9A835}"/>
              </a:ext>
            </a:extLst>
          </xdr:cNvPr>
          <xdr:cNvCxnSpPr/>
        </xdr:nvCxnSpPr>
        <xdr:spPr>
          <a:xfrm rot="5400000" flipH="1" flipV="1">
            <a:off x="4007012" y="712002"/>
            <a:ext cx="69058" cy="0"/>
          </a:xfrm>
          <a:prstGeom prst="line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03" name="202 Conector recto">
            <a:extLst>
              <a:ext uri="{FF2B5EF4-FFF2-40B4-BE49-F238E27FC236}">
                <a16:creationId xmlns:a16="http://schemas.microsoft.com/office/drawing/2014/main" id="{AD3BAE4A-AB8B-6235-EB74-63CF3C5006C1}"/>
              </a:ext>
            </a:extLst>
          </xdr:cNvPr>
          <xdr:cNvCxnSpPr/>
        </xdr:nvCxnSpPr>
        <xdr:spPr>
          <a:xfrm rot="5400000" flipH="1" flipV="1">
            <a:off x="4407891" y="712002"/>
            <a:ext cx="69058" cy="0"/>
          </a:xfrm>
          <a:prstGeom prst="line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</xdr:col>
      <xdr:colOff>104775</xdr:colOff>
      <xdr:row>136</xdr:row>
      <xdr:rowOff>47625</xdr:rowOff>
    </xdr:from>
    <xdr:to>
      <xdr:col>2</xdr:col>
      <xdr:colOff>495300</xdr:colOff>
      <xdr:row>136</xdr:row>
      <xdr:rowOff>161925</xdr:rowOff>
    </xdr:to>
    <xdr:grpSp>
      <xdr:nvGrpSpPr>
        <xdr:cNvPr id="149696" name="360 Grupo">
          <a:extLst>
            <a:ext uri="{FF2B5EF4-FFF2-40B4-BE49-F238E27FC236}">
              <a16:creationId xmlns:a16="http://schemas.microsoft.com/office/drawing/2014/main" id="{AA197863-761D-D4E7-5E34-D320DB77829D}"/>
            </a:ext>
          </a:extLst>
        </xdr:cNvPr>
        <xdr:cNvGrpSpPr>
          <a:grpSpLocks/>
        </xdr:cNvGrpSpPr>
      </xdr:nvGrpSpPr>
      <xdr:grpSpPr bwMode="auto">
        <a:xfrm>
          <a:off x="4972050" y="27498675"/>
          <a:ext cx="390525" cy="114300"/>
          <a:chOff x="8395878" y="713535"/>
          <a:chExt cx="2418526" cy="700993"/>
        </a:xfrm>
      </xdr:grpSpPr>
      <xdr:cxnSp macro="">
        <xdr:nvCxnSpPr>
          <xdr:cNvPr id="284" name="283 Conector recto">
            <a:extLst>
              <a:ext uri="{FF2B5EF4-FFF2-40B4-BE49-F238E27FC236}">
                <a16:creationId xmlns:a16="http://schemas.microsoft.com/office/drawing/2014/main" id="{062D0D0A-5F3E-D923-10E4-A32C2A22BD4F}"/>
              </a:ext>
            </a:extLst>
          </xdr:cNvPr>
          <xdr:cNvCxnSpPr/>
        </xdr:nvCxnSpPr>
        <xdr:spPr>
          <a:xfrm>
            <a:off x="9280705" y="830367"/>
            <a:ext cx="648873" cy="584161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285" name="284 Conector recto">
            <a:extLst>
              <a:ext uri="{FF2B5EF4-FFF2-40B4-BE49-F238E27FC236}">
                <a16:creationId xmlns:a16="http://schemas.microsoft.com/office/drawing/2014/main" id="{D7D947C4-D596-B8E7-2D5C-79C4C32CAD5F}"/>
              </a:ext>
            </a:extLst>
          </xdr:cNvPr>
          <xdr:cNvCxnSpPr/>
        </xdr:nvCxnSpPr>
        <xdr:spPr>
          <a:xfrm flipV="1">
            <a:off x="9988566" y="1414528"/>
            <a:ext cx="825838" cy="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286" name="285 Conector recto">
            <a:extLst>
              <a:ext uri="{FF2B5EF4-FFF2-40B4-BE49-F238E27FC236}">
                <a16:creationId xmlns:a16="http://schemas.microsoft.com/office/drawing/2014/main" id="{B6B18AE7-5755-6BE7-013D-C68DF69FDFDE}"/>
              </a:ext>
            </a:extLst>
          </xdr:cNvPr>
          <xdr:cNvCxnSpPr/>
        </xdr:nvCxnSpPr>
        <xdr:spPr>
          <a:xfrm flipV="1">
            <a:off x="8395878" y="713535"/>
            <a:ext cx="825838" cy="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2</xdr:col>
      <xdr:colOff>95250</xdr:colOff>
      <xdr:row>147</xdr:row>
      <xdr:rowOff>76200</xdr:rowOff>
    </xdr:from>
    <xdr:to>
      <xdr:col>2</xdr:col>
      <xdr:colOff>495300</xdr:colOff>
      <xdr:row>147</xdr:row>
      <xdr:rowOff>142875</xdr:rowOff>
    </xdr:to>
    <xdr:grpSp>
      <xdr:nvGrpSpPr>
        <xdr:cNvPr id="149697" name="342 Grupo">
          <a:extLst>
            <a:ext uri="{FF2B5EF4-FFF2-40B4-BE49-F238E27FC236}">
              <a16:creationId xmlns:a16="http://schemas.microsoft.com/office/drawing/2014/main" id="{5B674334-784E-4518-8171-8FCCCA4BED32}"/>
            </a:ext>
          </a:extLst>
        </xdr:cNvPr>
        <xdr:cNvGrpSpPr>
          <a:grpSpLocks/>
        </xdr:cNvGrpSpPr>
      </xdr:nvGrpSpPr>
      <xdr:grpSpPr bwMode="auto">
        <a:xfrm>
          <a:off x="4962525" y="29727525"/>
          <a:ext cx="400050" cy="66675"/>
          <a:chOff x="4041542" y="677472"/>
          <a:chExt cx="400879" cy="69058"/>
        </a:xfrm>
      </xdr:grpSpPr>
      <xdr:sp macro="" textlink="">
        <xdr:nvSpPr>
          <xdr:cNvPr id="149930" name="Line 46">
            <a:extLst>
              <a:ext uri="{FF2B5EF4-FFF2-40B4-BE49-F238E27FC236}">
                <a16:creationId xmlns:a16="http://schemas.microsoft.com/office/drawing/2014/main" id="{B93C8CE3-5CEC-E46E-A525-9DAB77AE4413}"/>
              </a:ext>
            </a:extLst>
          </xdr:cNvPr>
          <xdr:cNvSpPr>
            <a:spLocks noChangeShapeType="1"/>
          </xdr:cNvSpPr>
        </xdr:nvSpPr>
        <xdr:spPr bwMode="auto">
          <a:xfrm>
            <a:off x="4048125" y="682136"/>
            <a:ext cx="392723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cxnSp macro="">
        <xdr:nvCxnSpPr>
          <xdr:cNvPr id="380" name="379 Conector recto">
            <a:extLst>
              <a:ext uri="{FF2B5EF4-FFF2-40B4-BE49-F238E27FC236}">
                <a16:creationId xmlns:a16="http://schemas.microsoft.com/office/drawing/2014/main" id="{474B084B-BDE4-4651-56B9-6C8F4E36361A}"/>
              </a:ext>
            </a:extLst>
          </xdr:cNvPr>
          <xdr:cNvCxnSpPr/>
        </xdr:nvCxnSpPr>
        <xdr:spPr>
          <a:xfrm rot="5400000" flipH="1" flipV="1">
            <a:off x="4007012" y="712002"/>
            <a:ext cx="69058" cy="0"/>
          </a:xfrm>
          <a:prstGeom prst="line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81" name="380 Conector recto">
            <a:extLst>
              <a:ext uri="{FF2B5EF4-FFF2-40B4-BE49-F238E27FC236}">
                <a16:creationId xmlns:a16="http://schemas.microsoft.com/office/drawing/2014/main" id="{2D303288-6201-9E69-25B7-7305905BC421}"/>
              </a:ext>
            </a:extLst>
          </xdr:cNvPr>
          <xdr:cNvCxnSpPr/>
        </xdr:nvCxnSpPr>
        <xdr:spPr>
          <a:xfrm rot="5400000" flipH="1" flipV="1">
            <a:off x="4407891" y="712002"/>
            <a:ext cx="69058" cy="0"/>
          </a:xfrm>
          <a:prstGeom prst="line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</xdr:col>
      <xdr:colOff>95250</xdr:colOff>
      <xdr:row>148</xdr:row>
      <xdr:rowOff>76200</xdr:rowOff>
    </xdr:from>
    <xdr:to>
      <xdr:col>2</xdr:col>
      <xdr:colOff>495300</xdr:colOff>
      <xdr:row>148</xdr:row>
      <xdr:rowOff>142875</xdr:rowOff>
    </xdr:to>
    <xdr:grpSp>
      <xdr:nvGrpSpPr>
        <xdr:cNvPr id="149698" name="346 Grupo">
          <a:extLst>
            <a:ext uri="{FF2B5EF4-FFF2-40B4-BE49-F238E27FC236}">
              <a16:creationId xmlns:a16="http://schemas.microsoft.com/office/drawing/2014/main" id="{0D58EEA1-914F-0DE9-D044-EA4BE1DACF9C}"/>
            </a:ext>
          </a:extLst>
        </xdr:cNvPr>
        <xdr:cNvGrpSpPr>
          <a:grpSpLocks/>
        </xdr:cNvGrpSpPr>
      </xdr:nvGrpSpPr>
      <xdr:grpSpPr bwMode="auto">
        <a:xfrm>
          <a:off x="4962525" y="29927550"/>
          <a:ext cx="400050" cy="66675"/>
          <a:chOff x="4041542" y="677472"/>
          <a:chExt cx="400879" cy="69058"/>
        </a:xfrm>
      </xdr:grpSpPr>
      <xdr:sp macro="" textlink="">
        <xdr:nvSpPr>
          <xdr:cNvPr id="149927" name="Line 46">
            <a:extLst>
              <a:ext uri="{FF2B5EF4-FFF2-40B4-BE49-F238E27FC236}">
                <a16:creationId xmlns:a16="http://schemas.microsoft.com/office/drawing/2014/main" id="{1A513972-0FB1-C414-3702-E3770069736D}"/>
              </a:ext>
            </a:extLst>
          </xdr:cNvPr>
          <xdr:cNvSpPr>
            <a:spLocks noChangeShapeType="1"/>
          </xdr:cNvSpPr>
        </xdr:nvSpPr>
        <xdr:spPr bwMode="auto">
          <a:xfrm>
            <a:off x="4048125" y="682136"/>
            <a:ext cx="392723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cxnSp macro="">
        <xdr:nvCxnSpPr>
          <xdr:cNvPr id="384" name="383 Conector recto">
            <a:extLst>
              <a:ext uri="{FF2B5EF4-FFF2-40B4-BE49-F238E27FC236}">
                <a16:creationId xmlns:a16="http://schemas.microsoft.com/office/drawing/2014/main" id="{FCE058DC-FE21-D9D6-43F8-A1A47C5F1E63}"/>
              </a:ext>
            </a:extLst>
          </xdr:cNvPr>
          <xdr:cNvCxnSpPr/>
        </xdr:nvCxnSpPr>
        <xdr:spPr>
          <a:xfrm rot="5400000" flipH="1" flipV="1">
            <a:off x="4007012" y="712002"/>
            <a:ext cx="69058" cy="0"/>
          </a:xfrm>
          <a:prstGeom prst="line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85" name="384 Conector recto">
            <a:extLst>
              <a:ext uri="{FF2B5EF4-FFF2-40B4-BE49-F238E27FC236}">
                <a16:creationId xmlns:a16="http://schemas.microsoft.com/office/drawing/2014/main" id="{CE576B45-F2B9-6E92-72F6-FC0CDEA451E7}"/>
              </a:ext>
            </a:extLst>
          </xdr:cNvPr>
          <xdr:cNvCxnSpPr/>
        </xdr:nvCxnSpPr>
        <xdr:spPr>
          <a:xfrm rot="5400000" flipH="1" flipV="1">
            <a:off x="4407891" y="712002"/>
            <a:ext cx="69058" cy="0"/>
          </a:xfrm>
          <a:prstGeom prst="line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</xdr:col>
      <xdr:colOff>95250</xdr:colOff>
      <xdr:row>104</xdr:row>
      <xdr:rowOff>76200</xdr:rowOff>
    </xdr:from>
    <xdr:to>
      <xdr:col>2</xdr:col>
      <xdr:colOff>495300</xdr:colOff>
      <xdr:row>104</xdr:row>
      <xdr:rowOff>142875</xdr:rowOff>
    </xdr:to>
    <xdr:grpSp>
      <xdr:nvGrpSpPr>
        <xdr:cNvPr id="149699" name="270 Grupo">
          <a:extLst>
            <a:ext uri="{FF2B5EF4-FFF2-40B4-BE49-F238E27FC236}">
              <a16:creationId xmlns:a16="http://schemas.microsoft.com/office/drawing/2014/main" id="{36300AFA-5718-0C3C-6A31-8096D9920652}"/>
            </a:ext>
          </a:extLst>
        </xdr:cNvPr>
        <xdr:cNvGrpSpPr>
          <a:grpSpLocks/>
        </xdr:cNvGrpSpPr>
      </xdr:nvGrpSpPr>
      <xdr:grpSpPr bwMode="auto">
        <a:xfrm>
          <a:off x="4962525" y="21126450"/>
          <a:ext cx="400050" cy="66675"/>
          <a:chOff x="4041542" y="677472"/>
          <a:chExt cx="400879" cy="69058"/>
        </a:xfrm>
      </xdr:grpSpPr>
      <xdr:sp macro="" textlink="">
        <xdr:nvSpPr>
          <xdr:cNvPr id="149924" name="Line 46">
            <a:extLst>
              <a:ext uri="{FF2B5EF4-FFF2-40B4-BE49-F238E27FC236}">
                <a16:creationId xmlns:a16="http://schemas.microsoft.com/office/drawing/2014/main" id="{688F46DF-8C98-F51A-BB06-7966EBAB55C3}"/>
              </a:ext>
            </a:extLst>
          </xdr:cNvPr>
          <xdr:cNvSpPr>
            <a:spLocks noChangeShapeType="1"/>
          </xdr:cNvSpPr>
        </xdr:nvSpPr>
        <xdr:spPr bwMode="auto">
          <a:xfrm>
            <a:off x="4048125" y="682136"/>
            <a:ext cx="392723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cxnSp macro="">
        <xdr:nvCxnSpPr>
          <xdr:cNvPr id="364" name="363 Conector recto">
            <a:extLst>
              <a:ext uri="{FF2B5EF4-FFF2-40B4-BE49-F238E27FC236}">
                <a16:creationId xmlns:a16="http://schemas.microsoft.com/office/drawing/2014/main" id="{A78BCA82-EE45-575F-BDF3-5CBD355D8DAB}"/>
              </a:ext>
            </a:extLst>
          </xdr:cNvPr>
          <xdr:cNvCxnSpPr/>
        </xdr:nvCxnSpPr>
        <xdr:spPr>
          <a:xfrm rot="5400000" flipH="1" flipV="1">
            <a:off x="4007012" y="712002"/>
            <a:ext cx="69058" cy="0"/>
          </a:xfrm>
          <a:prstGeom prst="line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69" name="368 Conector recto">
            <a:extLst>
              <a:ext uri="{FF2B5EF4-FFF2-40B4-BE49-F238E27FC236}">
                <a16:creationId xmlns:a16="http://schemas.microsoft.com/office/drawing/2014/main" id="{7A3997FC-6F00-688B-AEA1-9628B7F1A9A7}"/>
              </a:ext>
            </a:extLst>
          </xdr:cNvPr>
          <xdr:cNvCxnSpPr/>
        </xdr:nvCxnSpPr>
        <xdr:spPr>
          <a:xfrm rot="5400000" flipH="1" flipV="1">
            <a:off x="4407891" y="712002"/>
            <a:ext cx="69058" cy="0"/>
          </a:xfrm>
          <a:prstGeom prst="line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</xdr:col>
      <xdr:colOff>209550</xdr:colOff>
      <xdr:row>108</xdr:row>
      <xdr:rowOff>38100</xdr:rowOff>
    </xdr:from>
    <xdr:to>
      <xdr:col>2</xdr:col>
      <xdr:colOff>419100</xdr:colOff>
      <xdr:row>108</xdr:row>
      <xdr:rowOff>161925</xdr:rowOff>
    </xdr:to>
    <xdr:grpSp>
      <xdr:nvGrpSpPr>
        <xdr:cNvPr id="149700" name="274 Grupo">
          <a:extLst>
            <a:ext uri="{FF2B5EF4-FFF2-40B4-BE49-F238E27FC236}">
              <a16:creationId xmlns:a16="http://schemas.microsoft.com/office/drawing/2014/main" id="{40381880-149A-AD1E-D498-9D9E5FCBAE35}"/>
            </a:ext>
          </a:extLst>
        </xdr:cNvPr>
        <xdr:cNvGrpSpPr>
          <a:grpSpLocks/>
        </xdr:cNvGrpSpPr>
      </xdr:nvGrpSpPr>
      <xdr:grpSpPr bwMode="auto">
        <a:xfrm>
          <a:off x="5076825" y="21888450"/>
          <a:ext cx="209550" cy="123825"/>
          <a:chOff x="6662421" y="677472"/>
          <a:chExt cx="165821" cy="71226"/>
        </a:xfrm>
      </xdr:grpSpPr>
      <xdr:cxnSp macro="">
        <xdr:nvCxnSpPr>
          <xdr:cNvPr id="375" name="374 Conector recto">
            <a:extLst>
              <a:ext uri="{FF2B5EF4-FFF2-40B4-BE49-F238E27FC236}">
                <a16:creationId xmlns:a16="http://schemas.microsoft.com/office/drawing/2014/main" id="{0FEF7883-EAD8-6AE1-A8F1-EBE1694F09B5}"/>
              </a:ext>
            </a:extLst>
          </xdr:cNvPr>
          <xdr:cNvCxnSpPr/>
        </xdr:nvCxnSpPr>
        <xdr:spPr>
          <a:xfrm rot="5400000" flipH="1" flipV="1">
            <a:off x="6626808" y="713085"/>
            <a:ext cx="71226" cy="0"/>
          </a:xfrm>
          <a:prstGeom prst="line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76" name="375 Conector recto">
            <a:extLst>
              <a:ext uri="{FF2B5EF4-FFF2-40B4-BE49-F238E27FC236}">
                <a16:creationId xmlns:a16="http://schemas.microsoft.com/office/drawing/2014/main" id="{91AC6A88-8A40-85A1-0FFF-65F0B8A0F735}"/>
              </a:ext>
            </a:extLst>
          </xdr:cNvPr>
          <xdr:cNvCxnSpPr/>
        </xdr:nvCxnSpPr>
        <xdr:spPr>
          <a:xfrm rot="5400000" flipH="1" flipV="1">
            <a:off x="6792629" y="713085"/>
            <a:ext cx="71226" cy="0"/>
          </a:xfrm>
          <a:prstGeom prst="line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78" name="377 Conector recto">
            <a:extLst>
              <a:ext uri="{FF2B5EF4-FFF2-40B4-BE49-F238E27FC236}">
                <a16:creationId xmlns:a16="http://schemas.microsoft.com/office/drawing/2014/main" id="{96A0925F-D612-1619-B6F6-EB2CE22B7F38}"/>
              </a:ext>
            </a:extLst>
          </xdr:cNvPr>
          <xdr:cNvCxnSpPr/>
        </xdr:nvCxnSpPr>
        <xdr:spPr>
          <a:xfrm flipH="1" flipV="1">
            <a:off x="6775481" y="721303"/>
            <a:ext cx="30149" cy="27395"/>
          </a:xfrm>
          <a:prstGeom prst="line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79" name="378 Conector recto">
            <a:extLst>
              <a:ext uri="{FF2B5EF4-FFF2-40B4-BE49-F238E27FC236}">
                <a16:creationId xmlns:a16="http://schemas.microsoft.com/office/drawing/2014/main" id="{C70179BE-1972-918C-B617-C67C39FE384E}"/>
              </a:ext>
            </a:extLst>
          </xdr:cNvPr>
          <xdr:cNvCxnSpPr/>
        </xdr:nvCxnSpPr>
        <xdr:spPr>
          <a:xfrm flipH="1" flipV="1">
            <a:off x="6790555" y="704867"/>
            <a:ext cx="37687" cy="27395"/>
          </a:xfrm>
          <a:prstGeom prst="line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149922" name="Line 46">
            <a:extLst>
              <a:ext uri="{FF2B5EF4-FFF2-40B4-BE49-F238E27FC236}">
                <a16:creationId xmlns:a16="http://schemas.microsoft.com/office/drawing/2014/main" id="{2E08637B-C98F-8073-43F9-4A301A3F18B0}"/>
              </a:ext>
            </a:extLst>
          </xdr:cNvPr>
          <xdr:cNvSpPr>
            <a:spLocks noChangeShapeType="1"/>
          </xdr:cNvSpPr>
        </xdr:nvSpPr>
        <xdr:spPr bwMode="auto">
          <a:xfrm flipV="1">
            <a:off x="6667926" y="681037"/>
            <a:ext cx="159117" cy="194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49923" name="Line 46">
            <a:extLst>
              <a:ext uri="{FF2B5EF4-FFF2-40B4-BE49-F238E27FC236}">
                <a16:creationId xmlns:a16="http://schemas.microsoft.com/office/drawing/2014/main" id="{003D38FE-12EF-E109-9632-C019C93F13E0}"/>
              </a:ext>
            </a:extLst>
          </xdr:cNvPr>
          <xdr:cNvSpPr>
            <a:spLocks noChangeShapeType="1"/>
          </xdr:cNvSpPr>
        </xdr:nvSpPr>
        <xdr:spPr bwMode="auto">
          <a:xfrm flipV="1">
            <a:off x="6667938" y="747713"/>
            <a:ext cx="159105" cy="985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2</xdr:col>
      <xdr:colOff>95250</xdr:colOff>
      <xdr:row>114</xdr:row>
      <xdr:rowOff>76200</xdr:rowOff>
    </xdr:from>
    <xdr:to>
      <xdr:col>2</xdr:col>
      <xdr:colOff>495300</xdr:colOff>
      <xdr:row>114</xdr:row>
      <xdr:rowOff>142875</xdr:rowOff>
    </xdr:to>
    <xdr:grpSp>
      <xdr:nvGrpSpPr>
        <xdr:cNvPr id="149701" name="285 Grupo">
          <a:extLst>
            <a:ext uri="{FF2B5EF4-FFF2-40B4-BE49-F238E27FC236}">
              <a16:creationId xmlns:a16="http://schemas.microsoft.com/office/drawing/2014/main" id="{E37BF519-7242-25EE-472C-11D1B9A235F0}"/>
            </a:ext>
          </a:extLst>
        </xdr:cNvPr>
        <xdr:cNvGrpSpPr>
          <a:grpSpLocks/>
        </xdr:cNvGrpSpPr>
      </xdr:nvGrpSpPr>
      <xdr:grpSpPr bwMode="auto">
        <a:xfrm>
          <a:off x="4962525" y="23126700"/>
          <a:ext cx="400050" cy="66675"/>
          <a:chOff x="4041542" y="677472"/>
          <a:chExt cx="400879" cy="69058"/>
        </a:xfrm>
      </xdr:grpSpPr>
      <xdr:sp macro="" textlink="">
        <xdr:nvSpPr>
          <xdr:cNvPr id="149915" name="Line 46">
            <a:extLst>
              <a:ext uri="{FF2B5EF4-FFF2-40B4-BE49-F238E27FC236}">
                <a16:creationId xmlns:a16="http://schemas.microsoft.com/office/drawing/2014/main" id="{D2E4F3E7-5F49-CE99-C718-FB7B2F5DEB46}"/>
              </a:ext>
            </a:extLst>
          </xdr:cNvPr>
          <xdr:cNvSpPr>
            <a:spLocks noChangeShapeType="1"/>
          </xdr:cNvSpPr>
        </xdr:nvSpPr>
        <xdr:spPr bwMode="auto">
          <a:xfrm>
            <a:off x="4048125" y="682136"/>
            <a:ext cx="392723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cxnSp macro="">
        <xdr:nvCxnSpPr>
          <xdr:cNvPr id="389" name="388 Conector recto">
            <a:extLst>
              <a:ext uri="{FF2B5EF4-FFF2-40B4-BE49-F238E27FC236}">
                <a16:creationId xmlns:a16="http://schemas.microsoft.com/office/drawing/2014/main" id="{CE2B90A7-5DA8-2B3D-37AC-06F297DAF0F2}"/>
              </a:ext>
            </a:extLst>
          </xdr:cNvPr>
          <xdr:cNvCxnSpPr/>
        </xdr:nvCxnSpPr>
        <xdr:spPr>
          <a:xfrm rot="5400000" flipH="1" flipV="1">
            <a:off x="4007012" y="712002"/>
            <a:ext cx="69058" cy="0"/>
          </a:xfrm>
          <a:prstGeom prst="line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90" name="389 Conector recto">
            <a:extLst>
              <a:ext uri="{FF2B5EF4-FFF2-40B4-BE49-F238E27FC236}">
                <a16:creationId xmlns:a16="http://schemas.microsoft.com/office/drawing/2014/main" id="{5A85C8DE-EB05-BBCA-CECD-2B279D8EF606}"/>
              </a:ext>
            </a:extLst>
          </xdr:cNvPr>
          <xdr:cNvCxnSpPr/>
        </xdr:nvCxnSpPr>
        <xdr:spPr>
          <a:xfrm rot="5400000" flipH="1" flipV="1">
            <a:off x="4407891" y="712002"/>
            <a:ext cx="69058" cy="0"/>
          </a:xfrm>
          <a:prstGeom prst="line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</xdr:col>
      <xdr:colOff>209550</xdr:colOff>
      <xdr:row>117</xdr:row>
      <xdr:rowOff>38100</xdr:rowOff>
    </xdr:from>
    <xdr:to>
      <xdr:col>2</xdr:col>
      <xdr:colOff>419100</xdr:colOff>
      <xdr:row>117</xdr:row>
      <xdr:rowOff>161925</xdr:rowOff>
    </xdr:to>
    <xdr:grpSp>
      <xdr:nvGrpSpPr>
        <xdr:cNvPr id="149702" name="289 Grupo">
          <a:extLst>
            <a:ext uri="{FF2B5EF4-FFF2-40B4-BE49-F238E27FC236}">
              <a16:creationId xmlns:a16="http://schemas.microsoft.com/office/drawing/2014/main" id="{9A977DAA-2300-D732-608D-204FB1010541}"/>
            </a:ext>
          </a:extLst>
        </xdr:cNvPr>
        <xdr:cNvGrpSpPr>
          <a:grpSpLocks/>
        </xdr:cNvGrpSpPr>
      </xdr:nvGrpSpPr>
      <xdr:grpSpPr bwMode="auto">
        <a:xfrm>
          <a:off x="5076825" y="23688675"/>
          <a:ext cx="209550" cy="123825"/>
          <a:chOff x="6662421" y="677472"/>
          <a:chExt cx="165821" cy="71226"/>
        </a:xfrm>
      </xdr:grpSpPr>
      <xdr:cxnSp macro="">
        <xdr:nvCxnSpPr>
          <xdr:cNvPr id="394" name="393 Conector recto">
            <a:extLst>
              <a:ext uri="{FF2B5EF4-FFF2-40B4-BE49-F238E27FC236}">
                <a16:creationId xmlns:a16="http://schemas.microsoft.com/office/drawing/2014/main" id="{C37968BF-CB63-B3B4-2573-9E24D006B053}"/>
              </a:ext>
            </a:extLst>
          </xdr:cNvPr>
          <xdr:cNvCxnSpPr/>
        </xdr:nvCxnSpPr>
        <xdr:spPr>
          <a:xfrm rot="5400000" flipH="1" flipV="1">
            <a:off x="6626808" y="713085"/>
            <a:ext cx="71226" cy="0"/>
          </a:xfrm>
          <a:prstGeom prst="line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99" name="398 Conector recto">
            <a:extLst>
              <a:ext uri="{FF2B5EF4-FFF2-40B4-BE49-F238E27FC236}">
                <a16:creationId xmlns:a16="http://schemas.microsoft.com/office/drawing/2014/main" id="{77C852EE-EA65-1040-0C91-2D8E65F14CD4}"/>
              </a:ext>
            </a:extLst>
          </xdr:cNvPr>
          <xdr:cNvCxnSpPr/>
        </xdr:nvCxnSpPr>
        <xdr:spPr>
          <a:xfrm rot="5400000" flipH="1" flipV="1">
            <a:off x="6792629" y="713085"/>
            <a:ext cx="71226" cy="0"/>
          </a:xfrm>
          <a:prstGeom prst="line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06" name="405 Conector recto">
            <a:extLst>
              <a:ext uri="{FF2B5EF4-FFF2-40B4-BE49-F238E27FC236}">
                <a16:creationId xmlns:a16="http://schemas.microsoft.com/office/drawing/2014/main" id="{A2994F6D-0988-54B6-9CF7-BFCB73807592}"/>
              </a:ext>
            </a:extLst>
          </xdr:cNvPr>
          <xdr:cNvCxnSpPr/>
        </xdr:nvCxnSpPr>
        <xdr:spPr>
          <a:xfrm flipH="1" flipV="1">
            <a:off x="6775481" y="721303"/>
            <a:ext cx="30149" cy="27395"/>
          </a:xfrm>
          <a:prstGeom prst="line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07" name="406 Conector recto">
            <a:extLst>
              <a:ext uri="{FF2B5EF4-FFF2-40B4-BE49-F238E27FC236}">
                <a16:creationId xmlns:a16="http://schemas.microsoft.com/office/drawing/2014/main" id="{90634FE5-D9F9-2E4F-A828-89E62F43D2A1}"/>
              </a:ext>
            </a:extLst>
          </xdr:cNvPr>
          <xdr:cNvCxnSpPr/>
        </xdr:nvCxnSpPr>
        <xdr:spPr>
          <a:xfrm flipH="1" flipV="1">
            <a:off x="6790555" y="704867"/>
            <a:ext cx="37687" cy="27395"/>
          </a:xfrm>
          <a:prstGeom prst="line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149913" name="Line 46">
            <a:extLst>
              <a:ext uri="{FF2B5EF4-FFF2-40B4-BE49-F238E27FC236}">
                <a16:creationId xmlns:a16="http://schemas.microsoft.com/office/drawing/2014/main" id="{F3F9963B-6CF4-1730-518D-2C1C0A6B345C}"/>
              </a:ext>
            </a:extLst>
          </xdr:cNvPr>
          <xdr:cNvSpPr>
            <a:spLocks noChangeShapeType="1"/>
          </xdr:cNvSpPr>
        </xdr:nvSpPr>
        <xdr:spPr bwMode="auto">
          <a:xfrm flipV="1">
            <a:off x="6667926" y="681037"/>
            <a:ext cx="159117" cy="194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49914" name="Line 46">
            <a:extLst>
              <a:ext uri="{FF2B5EF4-FFF2-40B4-BE49-F238E27FC236}">
                <a16:creationId xmlns:a16="http://schemas.microsoft.com/office/drawing/2014/main" id="{A051DBDE-0650-2CB5-B695-1C9B2D4A44E5}"/>
              </a:ext>
            </a:extLst>
          </xdr:cNvPr>
          <xdr:cNvSpPr>
            <a:spLocks noChangeShapeType="1"/>
          </xdr:cNvSpPr>
        </xdr:nvSpPr>
        <xdr:spPr bwMode="auto">
          <a:xfrm flipV="1">
            <a:off x="6667938" y="747713"/>
            <a:ext cx="159105" cy="985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2</xdr:col>
      <xdr:colOff>95250</xdr:colOff>
      <xdr:row>115</xdr:row>
      <xdr:rowOff>76200</xdr:rowOff>
    </xdr:from>
    <xdr:to>
      <xdr:col>2</xdr:col>
      <xdr:colOff>495300</xdr:colOff>
      <xdr:row>115</xdr:row>
      <xdr:rowOff>142875</xdr:rowOff>
    </xdr:to>
    <xdr:grpSp>
      <xdr:nvGrpSpPr>
        <xdr:cNvPr id="149703" name="296 Grupo">
          <a:extLst>
            <a:ext uri="{FF2B5EF4-FFF2-40B4-BE49-F238E27FC236}">
              <a16:creationId xmlns:a16="http://schemas.microsoft.com/office/drawing/2014/main" id="{CE36684C-354C-DDA6-D6D2-6AB7ABBAD028}"/>
            </a:ext>
          </a:extLst>
        </xdr:cNvPr>
        <xdr:cNvGrpSpPr>
          <a:grpSpLocks/>
        </xdr:cNvGrpSpPr>
      </xdr:nvGrpSpPr>
      <xdr:grpSpPr bwMode="auto">
        <a:xfrm>
          <a:off x="4962525" y="23326725"/>
          <a:ext cx="400050" cy="66675"/>
          <a:chOff x="4041542" y="677472"/>
          <a:chExt cx="400879" cy="69058"/>
        </a:xfrm>
      </xdr:grpSpPr>
      <xdr:sp macro="" textlink="">
        <xdr:nvSpPr>
          <xdr:cNvPr id="149906" name="Line 46">
            <a:extLst>
              <a:ext uri="{FF2B5EF4-FFF2-40B4-BE49-F238E27FC236}">
                <a16:creationId xmlns:a16="http://schemas.microsoft.com/office/drawing/2014/main" id="{7C88422F-37BD-DC66-0211-12BB1907D21E}"/>
              </a:ext>
            </a:extLst>
          </xdr:cNvPr>
          <xdr:cNvSpPr>
            <a:spLocks noChangeShapeType="1"/>
          </xdr:cNvSpPr>
        </xdr:nvSpPr>
        <xdr:spPr bwMode="auto">
          <a:xfrm>
            <a:off x="4048125" y="682136"/>
            <a:ext cx="392723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cxnSp macro="">
        <xdr:nvCxnSpPr>
          <xdr:cNvPr id="418" name="417 Conector recto">
            <a:extLst>
              <a:ext uri="{FF2B5EF4-FFF2-40B4-BE49-F238E27FC236}">
                <a16:creationId xmlns:a16="http://schemas.microsoft.com/office/drawing/2014/main" id="{B00CE729-8FEB-A15A-2A07-7EC7753D7186}"/>
              </a:ext>
            </a:extLst>
          </xdr:cNvPr>
          <xdr:cNvCxnSpPr/>
        </xdr:nvCxnSpPr>
        <xdr:spPr>
          <a:xfrm rot="5400000" flipH="1" flipV="1">
            <a:off x="4007012" y="712002"/>
            <a:ext cx="69058" cy="0"/>
          </a:xfrm>
          <a:prstGeom prst="line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21" name="420 Conector recto">
            <a:extLst>
              <a:ext uri="{FF2B5EF4-FFF2-40B4-BE49-F238E27FC236}">
                <a16:creationId xmlns:a16="http://schemas.microsoft.com/office/drawing/2014/main" id="{C5C4158C-F0C5-9F86-1EA8-26A1913713FE}"/>
              </a:ext>
            </a:extLst>
          </xdr:cNvPr>
          <xdr:cNvCxnSpPr/>
        </xdr:nvCxnSpPr>
        <xdr:spPr>
          <a:xfrm rot="5400000" flipH="1" flipV="1">
            <a:off x="4407891" y="712002"/>
            <a:ext cx="69058" cy="0"/>
          </a:xfrm>
          <a:prstGeom prst="line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</xdr:col>
      <xdr:colOff>209550</xdr:colOff>
      <xdr:row>116</xdr:row>
      <xdr:rowOff>28575</xdr:rowOff>
    </xdr:from>
    <xdr:to>
      <xdr:col>2</xdr:col>
      <xdr:colOff>523875</xdr:colOff>
      <xdr:row>116</xdr:row>
      <xdr:rowOff>104775</xdr:rowOff>
    </xdr:to>
    <xdr:grpSp>
      <xdr:nvGrpSpPr>
        <xdr:cNvPr id="149704" name="300 Grupo">
          <a:extLst>
            <a:ext uri="{FF2B5EF4-FFF2-40B4-BE49-F238E27FC236}">
              <a16:creationId xmlns:a16="http://schemas.microsoft.com/office/drawing/2014/main" id="{4DB70475-83E1-CB3C-B853-876D974ED034}"/>
            </a:ext>
          </a:extLst>
        </xdr:cNvPr>
        <xdr:cNvGrpSpPr>
          <a:grpSpLocks/>
        </xdr:cNvGrpSpPr>
      </xdr:nvGrpSpPr>
      <xdr:grpSpPr bwMode="auto">
        <a:xfrm>
          <a:off x="5076825" y="23479125"/>
          <a:ext cx="314325" cy="76200"/>
          <a:chOff x="4707729" y="631035"/>
          <a:chExt cx="310753" cy="69055"/>
        </a:xfrm>
      </xdr:grpSpPr>
      <xdr:sp macro="" textlink="">
        <xdr:nvSpPr>
          <xdr:cNvPr id="149904" name="Line 46">
            <a:extLst>
              <a:ext uri="{FF2B5EF4-FFF2-40B4-BE49-F238E27FC236}">
                <a16:creationId xmlns:a16="http://schemas.microsoft.com/office/drawing/2014/main" id="{83D8C39E-0C02-B238-827A-ED39DB0743BF}"/>
              </a:ext>
            </a:extLst>
          </xdr:cNvPr>
          <xdr:cNvSpPr>
            <a:spLocks noChangeShapeType="1"/>
          </xdr:cNvSpPr>
        </xdr:nvSpPr>
        <xdr:spPr bwMode="auto">
          <a:xfrm>
            <a:off x="4707729" y="697708"/>
            <a:ext cx="304800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cxnSp macro="">
        <xdr:nvCxnSpPr>
          <xdr:cNvPr id="426" name="425 Conector recto">
            <a:extLst>
              <a:ext uri="{FF2B5EF4-FFF2-40B4-BE49-F238E27FC236}">
                <a16:creationId xmlns:a16="http://schemas.microsoft.com/office/drawing/2014/main" id="{F53C7B4A-7CAE-A164-CB0C-321B6D7A62DD}"/>
              </a:ext>
            </a:extLst>
          </xdr:cNvPr>
          <xdr:cNvCxnSpPr/>
        </xdr:nvCxnSpPr>
        <xdr:spPr>
          <a:xfrm rot="5400000" flipH="1" flipV="1">
            <a:off x="4983955" y="665562"/>
            <a:ext cx="69055" cy="0"/>
          </a:xfrm>
          <a:prstGeom prst="line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</xdr:col>
      <xdr:colOff>95250</xdr:colOff>
      <xdr:row>105</xdr:row>
      <xdr:rowOff>76200</xdr:rowOff>
    </xdr:from>
    <xdr:to>
      <xdr:col>2</xdr:col>
      <xdr:colOff>495300</xdr:colOff>
      <xdr:row>105</xdr:row>
      <xdr:rowOff>142875</xdr:rowOff>
    </xdr:to>
    <xdr:grpSp>
      <xdr:nvGrpSpPr>
        <xdr:cNvPr id="149705" name="281 Grupo">
          <a:extLst>
            <a:ext uri="{FF2B5EF4-FFF2-40B4-BE49-F238E27FC236}">
              <a16:creationId xmlns:a16="http://schemas.microsoft.com/office/drawing/2014/main" id="{EC015870-1607-0BA9-99AA-604C0378DF03}"/>
            </a:ext>
          </a:extLst>
        </xdr:cNvPr>
        <xdr:cNvGrpSpPr>
          <a:grpSpLocks/>
        </xdr:cNvGrpSpPr>
      </xdr:nvGrpSpPr>
      <xdr:grpSpPr bwMode="auto">
        <a:xfrm>
          <a:off x="4962525" y="21326475"/>
          <a:ext cx="400050" cy="66675"/>
          <a:chOff x="4041542" y="677472"/>
          <a:chExt cx="400879" cy="69058"/>
        </a:xfrm>
      </xdr:grpSpPr>
      <xdr:sp macro="" textlink="">
        <xdr:nvSpPr>
          <xdr:cNvPr id="149901" name="Line 46">
            <a:extLst>
              <a:ext uri="{FF2B5EF4-FFF2-40B4-BE49-F238E27FC236}">
                <a16:creationId xmlns:a16="http://schemas.microsoft.com/office/drawing/2014/main" id="{C9472ECB-97FD-F4E4-5493-030B9D007F5E}"/>
              </a:ext>
            </a:extLst>
          </xdr:cNvPr>
          <xdr:cNvSpPr>
            <a:spLocks noChangeShapeType="1"/>
          </xdr:cNvSpPr>
        </xdr:nvSpPr>
        <xdr:spPr bwMode="auto">
          <a:xfrm>
            <a:off x="4048125" y="682136"/>
            <a:ext cx="392723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cxnSp macro="">
        <xdr:nvCxnSpPr>
          <xdr:cNvPr id="435" name="434 Conector recto">
            <a:extLst>
              <a:ext uri="{FF2B5EF4-FFF2-40B4-BE49-F238E27FC236}">
                <a16:creationId xmlns:a16="http://schemas.microsoft.com/office/drawing/2014/main" id="{54DA017B-B87A-C8B8-A25D-0CDB78D485C9}"/>
              </a:ext>
            </a:extLst>
          </xdr:cNvPr>
          <xdr:cNvCxnSpPr/>
        </xdr:nvCxnSpPr>
        <xdr:spPr>
          <a:xfrm rot="5400000" flipH="1" flipV="1">
            <a:off x="4007012" y="712002"/>
            <a:ext cx="69058" cy="0"/>
          </a:xfrm>
          <a:prstGeom prst="line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6" name="435 Conector recto">
            <a:extLst>
              <a:ext uri="{FF2B5EF4-FFF2-40B4-BE49-F238E27FC236}">
                <a16:creationId xmlns:a16="http://schemas.microsoft.com/office/drawing/2014/main" id="{6C96E4B3-87A7-5F8C-26F1-138461802178}"/>
              </a:ext>
            </a:extLst>
          </xdr:cNvPr>
          <xdr:cNvCxnSpPr/>
        </xdr:nvCxnSpPr>
        <xdr:spPr>
          <a:xfrm rot="5400000" flipH="1" flipV="1">
            <a:off x="4407891" y="712002"/>
            <a:ext cx="69058" cy="0"/>
          </a:xfrm>
          <a:prstGeom prst="line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</xdr:col>
      <xdr:colOff>209550</xdr:colOff>
      <xdr:row>107</xdr:row>
      <xdr:rowOff>28575</xdr:rowOff>
    </xdr:from>
    <xdr:to>
      <xdr:col>2</xdr:col>
      <xdr:colOff>523875</xdr:colOff>
      <xdr:row>107</xdr:row>
      <xdr:rowOff>104775</xdr:rowOff>
    </xdr:to>
    <xdr:grpSp>
      <xdr:nvGrpSpPr>
        <xdr:cNvPr id="149706" name="300 Grupo">
          <a:extLst>
            <a:ext uri="{FF2B5EF4-FFF2-40B4-BE49-F238E27FC236}">
              <a16:creationId xmlns:a16="http://schemas.microsoft.com/office/drawing/2014/main" id="{2C9C76EE-86FC-0F41-88C1-0BC9C49E22CC}"/>
            </a:ext>
          </a:extLst>
        </xdr:cNvPr>
        <xdr:cNvGrpSpPr>
          <a:grpSpLocks/>
        </xdr:cNvGrpSpPr>
      </xdr:nvGrpSpPr>
      <xdr:grpSpPr bwMode="auto">
        <a:xfrm>
          <a:off x="5076825" y="21678900"/>
          <a:ext cx="314325" cy="76200"/>
          <a:chOff x="4707729" y="631035"/>
          <a:chExt cx="310753" cy="69055"/>
        </a:xfrm>
      </xdr:grpSpPr>
      <xdr:sp macro="" textlink="">
        <xdr:nvSpPr>
          <xdr:cNvPr id="149899" name="Line 46">
            <a:extLst>
              <a:ext uri="{FF2B5EF4-FFF2-40B4-BE49-F238E27FC236}">
                <a16:creationId xmlns:a16="http://schemas.microsoft.com/office/drawing/2014/main" id="{0547909B-E15A-313B-A415-6D4DE8B968DE}"/>
              </a:ext>
            </a:extLst>
          </xdr:cNvPr>
          <xdr:cNvSpPr>
            <a:spLocks noChangeShapeType="1"/>
          </xdr:cNvSpPr>
        </xdr:nvSpPr>
        <xdr:spPr bwMode="auto">
          <a:xfrm>
            <a:off x="4707729" y="697708"/>
            <a:ext cx="304800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cxnSp macro="">
        <xdr:nvCxnSpPr>
          <xdr:cNvPr id="441" name="440 Conector recto">
            <a:extLst>
              <a:ext uri="{FF2B5EF4-FFF2-40B4-BE49-F238E27FC236}">
                <a16:creationId xmlns:a16="http://schemas.microsoft.com/office/drawing/2014/main" id="{5A031E80-5386-1BAA-8A6B-D55F3DA8C1AF}"/>
              </a:ext>
            </a:extLst>
          </xdr:cNvPr>
          <xdr:cNvCxnSpPr/>
        </xdr:nvCxnSpPr>
        <xdr:spPr>
          <a:xfrm rot="5400000" flipH="1" flipV="1">
            <a:off x="4983955" y="665563"/>
            <a:ext cx="69055" cy="0"/>
          </a:xfrm>
          <a:prstGeom prst="line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</xdr:col>
      <xdr:colOff>95250</xdr:colOff>
      <xdr:row>123</xdr:row>
      <xdr:rowOff>76200</xdr:rowOff>
    </xdr:from>
    <xdr:to>
      <xdr:col>2</xdr:col>
      <xdr:colOff>495300</xdr:colOff>
      <xdr:row>123</xdr:row>
      <xdr:rowOff>142875</xdr:rowOff>
    </xdr:to>
    <xdr:grpSp>
      <xdr:nvGrpSpPr>
        <xdr:cNvPr id="149707" name="285 Grupo">
          <a:extLst>
            <a:ext uri="{FF2B5EF4-FFF2-40B4-BE49-F238E27FC236}">
              <a16:creationId xmlns:a16="http://schemas.microsoft.com/office/drawing/2014/main" id="{AFC30C63-7272-7EE7-D6A8-7D8A114B9027}"/>
            </a:ext>
          </a:extLst>
        </xdr:cNvPr>
        <xdr:cNvGrpSpPr>
          <a:grpSpLocks/>
        </xdr:cNvGrpSpPr>
      </xdr:nvGrpSpPr>
      <xdr:grpSpPr bwMode="auto">
        <a:xfrm>
          <a:off x="4962525" y="24926925"/>
          <a:ext cx="400050" cy="66675"/>
          <a:chOff x="4041542" y="677472"/>
          <a:chExt cx="400879" cy="69058"/>
        </a:xfrm>
      </xdr:grpSpPr>
      <xdr:sp macro="" textlink="">
        <xdr:nvSpPr>
          <xdr:cNvPr id="149896" name="Line 46">
            <a:extLst>
              <a:ext uri="{FF2B5EF4-FFF2-40B4-BE49-F238E27FC236}">
                <a16:creationId xmlns:a16="http://schemas.microsoft.com/office/drawing/2014/main" id="{D4EF1A43-1C39-E6B5-A273-F5CCB993C84D}"/>
              </a:ext>
            </a:extLst>
          </xdr:cNvPr>
          <xdr:cNvSpPr>
            <a:spLocks noChangeShapeType="1"/>
          </xdr:cNvSpPr>
        </xdr:nvSpPr>
        <xdr:spPr bwMode="auto">
          <a:xfrm>
            <a:off x="4048125" y="682136"/>
            <a:ext cx="392723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cxnSp macro="">
        <xdr:nvCxnSpPr>
          <xdr:cNvPr id="445" name="444 Conector recto">
            <a:extLst>
              <a:ext uri="{FF2B5EF4-FFF2-40B4-BE49-F238E27FC236}">
                <a16:creationId xmlns:a16="http://schemas.microsoft.com/office/drawing/2014/main" id="{B6B9C185-E1BC-9B47-41BF-2E00EBFAD919}"/>
              </a:ext>
            </a:extLst>
          </xdr:cNvPr>
          <xdr:cNvCxnSpPr/>
        </xdr:nvCxnSpPr>
        <xdr:spPr>
          <a:xfrm rot="5400000" flipH="1" flipV="1">
            <a:off x="4007012" y="712002"/>
            <a:ext cx="69058" cy="0"/>
          </a:xfrm>
          <a:prstGeom prst="line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46" name="445 Conector recto">
            <a:extLst>
              <a:ext uri="{FF2B5EF4-FFF2-40B4-BE49-F238E27FC236}">
                <a16:creationId xmlns:a16="http://schemas.microsoft.com/office/drawing/2014/main" id="{6C758EB9-B0F5-56F7-DE7F-5A58E30EF4B6}"/>
              </a:ext>
            </a:extLst>
          </xdr:cNvPr>
          <xdr:cNvCxnSpPr/>
        </xdr:nvCxnSpPr>
        <xdr:spPr>
          <a:xfrm rot="5400000" flipH="1" flipV="1">
            <a:off x="4407891" y="712002"/>
            <a:ext cx="69058" cy="0"/>
          </a:xfrm>
          <a:prstGeom prst="line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</xdr:col>
      <xdr:colOff>209550</xdr:colOff>
      <xdr:row>124</xdr:row>
      <xdr:rowOff>38100</xdr:rowOff>
    </xdr:from>
    <xdr:to>
      <xdr:col>2</xdr:col>
      <xdr:colOff>419100</xdr:colOff>
      <xdr:row>124</xdr:row>
      <xdr:rowOff>161925</xdr:rowOff>
    </xdr:to>
    <xdr:grpSp>
      <xdr:nvGrpSpPr>
        <xdr:cNvPr id="149708" name="289 Grupo">
          <a:extLst>
            <a:ext uri="{FF2B5EF4-FFF2-40B4-BE49-F238E27FC236}">
              <a16:creationId xmlns:a16="http://schemas.microsoft.com/office/drawing/2014/main" id="{91DA711B-DD9A-24BE-C188-B828D88EBA7C}"/>
            </a:ext>
          </a:extLst>
        </xdr:cNvPr>
        <xdr:cNvGrpSpPr>
          <a:grpSpLocks/>
        </xdr:cNvGrpSpPr>
      </xdr:nvGrpSpPr>
      <xdr:grpSpPr bwMode="auto">
        <a:xfrm>
          <a:off x="5076825" y="25088850"/>
          <a:ext cx="209550" cy="123825"/>
          <a:chOff x="6662421" y="677472"/>
          <a:chExt cx="165821" cy="71226"/>
        </a:xfrm>
      </xdr:grpSpPr>
      <xdr:cxnSp macro="">
        <xdr:nvCxnSpPr>
          <xdr:cNvPr id="448" name="447 Conector recto">
            <a:extLst>
              <a:ext uri="{FF2B5EF4-FFF2-40B4-BE49-F238E27FC236}">
                <a16:creationId xmlns:a16="http://schemas.microsoft.com/office/drawing/2014/main" id="{002F455A-9D11-BDAA-3D7B-D7EF3AE741BB}"/>
              </a:ext>
            </a:extLst>
          </xdr:cNvPr>
          <xdr:cNvCxnSpPr/>
        </xdr:nvCxnSpPr>
        <xdr:spPr>
          <a:xfrm rot="5400000" flipH="1" flipV="1">
            <a:off x="6626808" y="713085"/>
            <a:ext cx="71226" cy="0"/>
          </a:xfrm>
          <a:prstGeom prst="line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49" name="448 Conector recto">
            <a:extLst>
              <a:ext uri="{FF2B5EF4-FFF2-40B4-BE49-F238E27FC236}">
                <a16:creationId xmlns:a16="http://schemas.microsoft.com/office/drawing/2014/main" id="{C16315C4-499B-F772-75AC-B0F08E646127}"/>
              </a:ext>
            </a:extLst>
          </xdr:cNvPr>
          <xdr:cNvCxnSpPr/>
        </xdr:nvCxnSpPr>
        <xdr:spPr>
          <a:xfrm rot="5400000" flipH="1" flipV="1">
            <a:off x="6792629" y="713085"/>
            <a:ext cx="71226" cy="0"/>
          </a:xfrm>
          <a:prstGeom prst="line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50" name="449 Conector recto">
            <a:extLst>
              <a:ext uri="{FF2B5EF4-FFF2-40B4-BE49-F238E27FC236}">
                <a16:creationId xmlns:a16="http://schemas.microsoft.com/office/drawing/2014/main" id="{E48145FD-A34E-7D80-2427-5808C29E98C7}"/>
              </a:ext>
            </a:extLst>
          </xdr:cNvPr>
          <xdr:cNvCxnSpPr/>
        </xdr:nvCxnSpPr>
        <xdr:spPr>
          <a:xfrm flipH="1" flipV="1">
            <a:off x="6775481" y="721303"/>
            <a:ext cx="30149" cy="27395"/>
          </a:xfrm>
          <a:prstGeom prst="line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51" name="450 Conector recto">
            <a:extLst>
              <a:ext uri="{FF2B5EF4-FFF2-40B4-BE49-F238E27FC236}">
                <a16:creationId xmlns:a16="http://schemas.microsoft.com/office/drawing/2014/main" id="{FD8FC368-AD9D-2096-C745-2A58A2C5BB10}"/>
              </a:ext>
            </a:extLst>
          </xdr:cNvPr>
          <xdr:cNvCxnSpPr/>
        </xdr:nvCxnSpPr>
        <xdr:spPr>
          <a:xfrm flipH="1" flipV="1">
            <a:off x="6790555" y="704867"/>
            <a:ext cx="37687" cy="27395"/>
          </a:xfrm>
          <a:prstGeom prst="line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149894" name="Line 46">
            <a:extLst>
              <a:ext uri="{FF2B5EF4-FFF2-40B4-BE49-F238E27FC236}">
                <a16:creationId xmlns:a16="http://schemas.microsoft.com/office/drawing/2014/main" id="{49E4E995-184D-882F-98BD-7598C0950475}"/>
              </a:ext>
            </a:extLst>
          </xdr:cNvPr>
          <xdr:cNvSpPr>
            <a:spLocks noChangeShapeType="1"/>
          </xdr:cNvSpPr>
        </xdr:nvSpPr>
        <xdr:spPr bwMode="auto">
          <a:xfrm flipV="1">
            <a:off x="6667926" y="681037"/>
            <a:ext cx="159117" cy="194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49895" name="Line 46">
            <a:extLst>
              <a:ext uri="{FF2B5EF4-FFF2-40B4-BE49-F238E27FC236}">
                <a16:creationId xmlns:a16="http://schemas.microsoft.com/office/drawing/2014/main" id="{73EC740E-EE9B-B5E9-1E87-0DF77EE79618}"/>
              </a:ext>
            </a:extLst>
          </xdr:cNvPr>
          <xdr:cNvSpPr>
            <a:spLocks noChangeShapeType="1"/>
          </xdr:cNvSpPr>
        </xdr:nvSpPr>
        <xdr:spPr bwMode="auto">
          <a:xfrm flipV="1">
            <a:off x="6667938" y="747713"/>
            <a:ext cx="159105" cy="985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2</xdr:col>
      <xdr:colOff>154781</xdr:colOff>
      <xdr:row>106</xdr:row>
      <xdr:rowOff>104775</xdr:rowOff>
    </xdr:from>
    <xdr:to>
      <xdr:col>2</xdr:col>
      <xdr:colOff>504825</xdr:colOff>
      <xdr:row>106</xdr:row>
      <xdr:rowOff>104775</xdr:rowOff>
    </xdr:to>
    <xdr:cxnSp macro="">
      <xdr:nvCxnSpPr>
        <xdr:cNvPr id="454" name="453 Conector recto">
          <a:extLst>
            <a:ext uri="{FF2B5EF4-FFF2-40B4-BE49-F238E27FC236}">
              <a16:creationId xmlns:a16="http://schemas.microsoft.com/office/drawing/2014/main" id="{E2C29F0E-EF8D-D9AF-5721-DF100B811066}"/>
            </a:ext>
          </a:extLst>
        </xdr:cNvPr>
        <xdr:cNvCxnSpPr/>
      </xdr:nvCxnSpPr>
      <xdr:spPr>
        <a:xfrm>
          <a:off x="4984516" y="16487775"/>
          <a:ext cx="350044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95250</xdr:colOff>
      <xdr:row>110</xdr:row>
      <xdr:rowOff>76200</xdr:rowOff>
    </xdr:from>
    <xdr:to>
      <xdr:col>2</xdr:col>
      <xdr:colOff>495300</xdr:colOff>
      <xdr:row>110</xdr:row>
      <xdr:rowOff>142875</xdr:rowOff>
    </xdr:to>
    <xdr:grpSp>
      <xdr:nvGrpSpPr>
        <xdr:cNvPr id="149710" name="270 Grupo">
          <a:extLst>
            <a:ext uri="{FF2B5EF4-FFF2-40B4-BE49-F238E27FC236}">
              <a16:creationId xmlns:a16="http://schemas.microsoft.com/office/drawing/2014/main" id="{802165E7-F482-14B8-B1C0-4025748768F1}"/>
            </a:ext>
          </a:extLst>
        </xdr:cNvPr>
        <xdr:cNvGrpSpPr>
          <a:grpSpLocks/>
        </xdr:cNvGrpSpPr>
      </xdr:nvGrpSpPr>
      <xdr:grpSpPr bwMode="auto">
        <a:xfrm>
          <a:off x="4962525" y="22326600"/>
          <a:ext cx="400050" cy="66675"/>
          <a:chOff x="4041542" y="677472"/>
          <a:chExt cx="400879" cy="69058"/>
        </a:xfrm>
      </xdr:grpSpPr>
      <xdr:sp macro="" textlink="">
        <xdr:nvSpPr>
          <xdr:cNvPr id="149887" name="Line 46">
            <a:extLst>
              <a:ext uri="{FF2B5EF4-FFF2-40B4-BE49-F238E27FC236}">
                <a16:creationId xmlns:a16="http://schemas.microsoft.com/office/drawing/2014/main" id="{EA70F1F6-C194-8033-43BE-1EC0E2317EE5}"/>
              </a:ext>
            </a:extLst>
          </xdr:cNvPr>
          <xdr:cNvSpPr>
            <a:spLocks noChangeShapeType="1"/>
          </xdr:cNvSpPr>
        </xdr:nvSpPr>
        <xdr:spPr bwMode="auto">
          <a:xfrm>
            <a:off x="4048125" y="682136"/>
            <a:ext cx="392723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cxnSp macro="">
        <xdr:nvCxnSpPr>
          <xdr:cNvPr id="457" name="456 Conector recto">
            <a:extLst>
              <a:ext uri="{FF2B5EF4-FFF2-40B4-BE49-F238E27FC236}">
                <a16:creationId xmlns:a16="http://schemas.microsoft.com/office/drawing/2014/main" id="{59D124D7-DFC5-FE6E-E2DE-F97659375B17}"/>
              </a:ext>
            </a:extLst>
          </xdr:cNvPr>
          <xdr:cNvCxnSpPr/>
        </xdr:nvCxnSpPr>
        <xdr:spPr>
          <a:xfrm rot="5400000" flipH="1" flipV="1">
            <a:off x="4007012" y="712002"/>
            <a:ext cx="69058" cy="0"/>
          </a:xfrm>
          <a:prstGeom prst="line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58" name="457 Conector recto">
            <a:extLst>
              <a:ext uri="{FF2B5EF4-FFF2-40B4-BE49-F238E27FC236}">
                <a16:creationId xmlns:a16="http://schemas.microsoft.com/office/drawing/2014/main" id="{C19B04A4-F6FC-94E6-824A-271C4BD693CB}"/>
              </a:ext>
            </a:extLst>
          </xdr:cNvPr>
          <xdr:cNvCxnSpPr/>
        </xdr:nvCxnSpPr>
        <xdr:spPr>
          <a:xfrm rot="5400000" flipH="1" flipV="1">
            <a:off x="4407891" y="712002"/>
            <a:ext cx="69058" cy="0"/>
          </a:xfrm>
          <a:prstGeom prst="line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</xdr:col>
      <xdr:colOff>209550</xdr:colOff>
      <xdr:row>112</xdr:row>
      <xdr:rowOff>38100</xdr:rowOff>
    </xdr:from>
    <xdr:to>
      <xdr:col>2</xdr:col>
      <xdr:colOff>419100</xdr:colOff>
      <xdr:row>112</xdr:row>
      <xdr:rowOff>161925</xdr:rowOff>
    </xdr:to>
    <xdr:grpSp>
      <xdr:nvGrpSpPr>
        <xdr:cNvPr id="149711" name="274 Grupo">
          <a:extLst>
            <a:ext uri="{FF2B5EF4-FFF2-40B4-BE49-F238E27FC236}">
              <a16:creationId xmlns:a16="http://schemas.microsoft.com/office/drawing/2014/main" id="{A91522FF-3AE9-D951-623B-6F231119A0CA}"/>
            </a:ext>
          </a:extLst>
        </xdr:cNvPr>
        <xdr:cNvGrpSpPr>
          <a:grpSpLocks/>
        </xdr:cNvGrpSpPr>
      </xdr:nvGrpSpPr>
      <xdr:grpSpPr bwMode="auto">
        <a:xfrm>
          <a:off x="5076825" y="22688550"/>
          <a:ext cx="209550" cy="123825"/>
          <a:chOff x="6662421" y="677472"/>
          <a:chExt cx="165821" cy="71226"/>
        </a:xfrm>
      </xdr:grpSpPr>
      <xdr:cxnSp macro="">
        <xdr:nvCxnSpPr>
          <xdr:cNvPr id="460" name="459 Conector recto">
            <a:extLst>
              <a:ext uri="{FF2B5EF4-FFF2-40B4-BE49-F238E27FC236}">
                <a16:creationId xmlns:a16="http://schemas.microsoft.com/office/drawing/2014/main" id="{6EAC1ACE-38B7-B03E-40A1-A7BD1F8A7220}"/>
              </a:ext>
            </a:extLst>
          </xdr:cNvPr>
          <xdr:cNvCxnSpPr/>
        </xdr:nvCxnSpPr>
        <xdr:spPr>
          <a:xfrm rot="5400000" flipH="1" flipV="1">
            <a:off x="6626808" y="713085"/>
            <a:ext cx="71226" cy="0"/>
          </a:xfrm>
          <a:prstGeom prst="line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61" name="460 Conector recto">
            <a:extLst>
              <a:ext uri="{FF2B5EF4-FFF2-40B4-BE49-F238E27FC236}">
                <a16:creationId xmlns:a16="http://schemas.microsoft.com/office/drawing/2014/main" id="{DFA5E330-DCFB-9A8A-F706-87789BB0A515}"/>
              </a:ext>
            </a:extLst>
          </xdr:cNvPr>
          <xdr:cNvCxnSpPr/>
        </xdr:nvCxnSpPr>
        <xdr:spPr>
          <a:xfrm rot="5400000" flipH="1" flipV="1">
            <a:off x="6792629" y="713085"/>
            <a:ext cx="71226" cy="0"/>
          </a:xfrm>
          <a:prstGeom prst="line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62" name="461 Conector recto">
            <a:extLst>
              <a:ext uri="{FF2B5EF4-FFF2-40B4-BE49-F238E27FC236}">
                <a16:creationId xmlns:a16="http://schemas.microsoft.com/office/drawing/2014/main" id="{492EB04F-E78F-965F-6F44-515DCD3149F6}"/>
              </a:ext>
            </a:extLst>
          </xdr:cNvPr>
          <xdr:cNvCxnSpPr/>
        </xdr:nvCxnSpPr>
        <xdr:spPr>
          <a:xfrm flipH="1" flipV="1">
            <a:off x="6775481" y="721303"/>
            <a:ext cx="30149" cy="27395"/>
          </a:xfrm>
          <a:prstGeom prst="line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63" name="462 Conector recto">
            <a:extLst>
              <a:ext uri="{FF2B5EF4-FFF2-40B4-BE49-F238E27FC236}">
                <a16:creationId xmlns:a16="http://schemas.microsoft.com/office/drawing/2014/main" id="{40230C3E-230A-94A0-6A6B-004E166D8C69}"/>
              </a:ext>
            </a:extLst>
          </xdr:cNvPr>
          <xdr:cNvCxnSpPr/>
        </xdr:nvCxnSpPr>
        <xdr:spPr>
          <a:xfrm flipH="1" flipV="1">
            <a:off x="6790555" y="704867"/>
            <a:ext cx="37687" cy="27395"/>
          </a:xfrm>
          <a:prstGeom prst="line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149885" name="Line 46">
            <a:extLst>
              <a:ext uri="{FF2B5EF4-FFF2-40B4-BE49-F238E27FC236}">
                <a16:creationId xmlns:a16="http://schemas.microsoft.com/office/drawing/2014/main" id="{7D0B1B55-CC84-1538-AD81-DAD24C6A89FA}"/>
              </a:ext>
            </a:extLst>
          </xdr:cNvPr>
          <xdr:cNvSpPr>
            <a:spLocks noChangeShapeType="1"/>
          </xdr:cNvSpPr>
        </xdr:nvSpPr>
        <xdr:spPr bwMode="auto">
          <a:xfrm flipV="1">
            <a:off x="6667926" y="681037"/>
            <a:ext cx="159117" cy="194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49886" name="Line 46">
            <a:extLst>
              <a:ext uri="{FF2B5EF4-FFF2-40B4-BE49-F238E27FC236}">
                <a16:creationId xmlns:a16="http://schemas.microsoft.com/office/drawing/2014/main" id="{DB669BC8-C03F-C7CC-CD5F-0A0A1AE28210}"/>
              </a:ext>
            </a:extLst>
          </xdr:cNvPr>
          <xdr:cNvSpPr>
            <a:spLocks noChangeShapeType="1"/>
          </xdr:cNvSpPr>
        </xdr:nvSpPr>
        <xdr:spPr bwMode="auto">
          <a:xfrm flipV="1">
            <a:off x="6667938" y="747713"/>
            <a:ext cx="159105" cy="985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2</xdr:col>
      <xdr:colOff>95250</xdr:colOff>
      <xdr:row>111</xdr:row>
      <xdr:rowOff>76200</xdr:rowOff>
    </xdr:from>
    <xdr:to>
      <xdr:col>2</xdr:col>
      <xdr:colOff>495300</xdr:colOff>
      <xdr:row>111</xdr:row>
      <xdr:rowOff>142875</xdr:rowOff>
    </xdr:to>
    <xdr:grpSp>
      <xdr:nvGrpSpPr>
        <xdr:cNvPr id="149712" name="281 Grupo">
          <a:extLst>
            <a:ext uri="{FF2B5EF4-FFF2-40B4-BE49-F238E27FC236}">
              <a16:creationId xmlns:a16="http://schemas.microsoft.com/office/drawing/2014/main" id="{BDAAFDE1-13BD-B595-1B7F-890DB9CC7FC1}"/>
            </a:ext>
          </a:extLst>
        </xdr:cNvPr>
        <xdr:cNvGrpSpPr>
          <a:grpSpLocks/>
        </xdr:cNvGrpSpPr>
      </xdr:nvGrpSpPr>
      <xdr:grpSpPr bwMode="auto">
        <a:xfrm>
          <a:off x="4962525" y="22526625"/>
          <a:ext cx="400050" cy="66675"/>
          <a:chOff x="4041542" y="677472"/>
          <a:chExt cx="400879" cy="69058"/>
        </a:xfrm>
      </xdr:grpSpPr>
      <xdr:sp macro="" textlink="">
        <xdr:nvSpPr>
          <xdr:cNvPr id="149878" name="Line 46">
            <a:extLst>
              <a:ext uri="{FF2B5EF4-FFF2-40B4-BE49-F238E27FC236}">
                <a16:creationId xmlns:a16="http://schemas.microsoft.com/office/drawing/2014/main" id="{065D682D-2F53-BB2D-01CA-CAE7331AAD7A}"/>
              </a:ext>
            </a:extLst>
          </xdr:cNvPr>
          <xdr:cNvSpPr>
            <a:spLocks noChangeShapeType="1"/>
          </xdr:cNvSpPr>
        </xdr:nvSpPr>
        <xdr:spPr bwMode="auto">
          <a:xfrm>
            <a:off x="4048125" y="682136"/>
            <a:ext cx="392723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cxnSp macro="">
        <xdr:nvCxnSpPr>
          <xdr:cNvPr id="468" name="467 Conector recto">
            <a:extLst>
              <a:ext uri="{FF2B5EF4-FFF2-40B4-BE49-F238E27FC236}">
                <a16:creationId xmlns:a16="http://schemas.microsoft.com/office/drawing/2014/main" id="{ECE7EE0A-44FB-F2A2-7FB7-D6B17F9AEB52}"/>
              </a:ext>
            </a:extLst>
          </xdr:cNvPr>
          <xdr:cNvCxnSpPr/>
        </xdr:nvCxnSpPr>
        <xdr:spPr>
          <a:xfrm rot="5400000" flipH="1" flipV="1">
            <a:off x="4007012" y="712002"/>
            <a:ext cx="69058" cy="0"/>
          </a:xfrm>
          <a:prstGeom prst="line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69" name="468 Conector recto">
            <a:extLst>
              <a:ext uri="{FF2B5EF4-FFF2-40B4-BE49-F238E27FC236}">
                <a16:creationId xmlns:a16="http://schemas.microsoft.com/office/drawing/2014/main" id="{1EF97189-C05A-1324-F5C2-83AEF25F8EFC}"/>
              </a:ext>
            </a:extLst>
          </xdr:cNvPr>
          <xdr:cNvCxnSpPr/>
        </xdr:nvCxnSpPr>
        <xdr:spPr>
          <a:xfrm rot="5400000" flipH="1" flipV="1">
            <a:off x="4407891" y="712002"/>
            <a:ext cx="69058" cy="0"/>
          </a:xfrm>
          <a:prstGeom prst="line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</xdr:col>
      <xdr:colOff>95250</xdr:colOff>
      <xdr:row>80</xdr:row>
      <xdr:rowOff>76200</xdr:rowOff>
    </xdr:from>
    <xdr:to>
      <xdr:col>2</xdr:col>
      <xdr:colOff>495300</xdr:colOff>
      <xdr:row>80</xdr:row>
      <xdr:rowOff>142875</xdr:rowOff>
    </xdr:to>
    <xdr:grpSp>
      <xdr:nvGrpSpPr>
        <xdr:cNvPr id="149713" name="270 Grupo">
          <a:extLst>
            <a:ext uri="{FF2B5EF4-FFF2-40B4-BE49-F238E27FC236}">
              <a16:creationId xmlns:a16="http://schemas.microsoft.com/office/drawing/2014/main" id="{E94ABC1F-EC60-845E-3732-459D876ABA5D}"/>
            </a:ext>
          </a:extLst>
        </xdr:cNvPr>
        <xdr:cNvGrpSpPr>
          <a:grpSpLocks/>
        </xdr:cNvGrpSpPr>
      </xdr:nvGrpSpPr>
      <xdr:grpSpPr bwMode="auto">
        <a:xfrm>
          <a:off x="4962525" y="16325850"/>
          <a:ext cx="400050" cy="66675"/>
          <a:chOff x="4041542" y="677472"/>
          <a:chExt cx="400879" cy="69058"/>
        </a:xfrm>
      </xdr:grpSpPr>
      <xdr:sp macro="" textlink="">
        <xdr:nvSpPr>
          <xdr:cNvPr id="149875" name="Line 46">
            <a:extLst>
              <a:ext uri="{FF2B5EF4-FFF2-40B4-BE49-F238E27FC236}">
                <a16:creationId xmlns:a16="http://schemas.microsoft.com/office/drawing/2014/main" id="{82269EDC-725A-CED6-6121-FAA83C8CA41A}"/>
              </a:ext>
            </a:extLst>
          </xdr:cNvPr>
          <xdr:cNvSpPr>
            <a:spLocks noChangeShapeType="1"/>
          </xdr:cNvSpPr>
        </xdr:nvSpPr>
        <xdr:spPr bwMode="auto">
          <a:xfrm>
            <a:off x="4048125" y="682136"/>
            <a:ext cx="392723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cxnSp macro="">
        <xdr:nvCxnSpPr>
          <xdr:cNvPr id="494" name="493 Conector recto">
            <a:extLst>
              <a:ext uri="{FF2B5EF4-FFF2-40B4-BE49-F238E27FC236}">
                <a16:creationId xmlns:a16="http://schemas.microsoft.com/office/drawing/2014/main" id="{BC21C5E0-E3A3-2CB0-35C4-F73A5DBC88DC}"/>
              </a:ext>
            </a:extLst>
          </xdr:cNvPr>
          <xdr:cNvCxnSpPr/>
        </xdr:nvCxnSpPr>
        <xdr:spPr>
          <a:xfrm rot="5400000" flipH="1" flipV="1">
            <a:off x="4007012" y="712002"/>
            <a:ext cx="69058" cy="0"/>
          </a:xfrm>
          <a:prstGeom prst="line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95" name="494 Conector recto">
            <a:extLst>
              <a:ext uri="{FF2B5EF4-FFF2-40B4-BE49-F238E27FC236}">
                <a16:creationId xmlns:a16="http://schemas.microsoft.com/office/drawing/2014/main" id="{7E590251-632E-232A-2AFF-C78463BDFE11}"/>
              </a:ext>
            </a:extLst>
          </xdr:cNvPr>
          <xdr:cNvCxnSpPr/>
        </xdr:nvCxnSpPr>
        <xdr:spPr>
          <a:xfrm rot="5400000" flipH="1" flipV="1">
            <a:off x="4407891" y="712002"/>
            <a:ext cx="69058" cy="0"/>
          </a:xfrm>
          <a:prstGeom prst="line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</xdr:col>
      <xdr:colOff>161925</xdr:colOff>
      <xdr:row>81</xdr:row>
      <xdr:rowOff>28575</xdr:rowOff>
    </xdr:from>
    <xdr:to>
      <xdr:col>2</xdr:col>
      <xdr:colOff>476250</xdr:colOff>
      <xdr:row>81</xdr:row>
      <xdr:rowOff>104775</xdr:rowOff>
    </xdr:to>
    <xdr:grpSp>
      <xdr:nvGrpSpPr>
        <xdr:cNvPr id="149714" name="300 Grupo">
          <a:extLst>
            <a:ext uri="{FF2B5EF4-FFF2-40B4-BE49-F238E27FC236}">
              <a16:creationId xmlns:a16="http://schemas.microsoft.com/office/drawing/2014/main" id="{4F61B40D-8182-2B08-24F1-92357EFE38EB}"/>
            </a:ext>
          </a:extLst>
        </xdr:cNvPr>
        <xdr:cNvGrpSpPr>
          <a:grpSpLocks/>
        </xdr:cNvGrpSpPr>
      </xdr:nvGrpSpPr>
      <xdr:grpSpPr bwMode="auto">
        <a:xfrm>
          <a:off x="5029200" y="16478250"/>
          <a:ext cx="314325" cy="76200"/>
          <a:chOff x="4707729" y="631035"/>
          <a:chExt cx="310753" cy="69055"/>
        </a:xfrm>
      </xdr:grpSpPr>
      <xdr:sp macro="" textlink="">
        <xdr:nvSpPr>
          <xdr:cNvPr id="149873" name="Line 46">
            <a:extLst>
              <a:ext uri="{FF2B5EF4-FFF2-40B4-BE49-F238E27FC236}">
                <a16:creationId xmlns:a16="http://schemas.microsoft.com/office/drawing/2014/main" id="{2177370C-E324-559D-C253-B9A1B7314953}"/>
              </a:ext>
            </a:extLst>
          </xdr:cNvPr>
          <xdr:cNvSpPr>
            <a:spLocks noChangeShapeType="1"/>
          </xdr:cNvSpPr>
        </xdr:nvSpPr>
        <xdr:spPr bwMode="auto">
          <a:xfrm>
            <a:off x="4707729" y="697708"/>
            <a:ext cx="304800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cxnSp macro="">
        <xdr:nvCxnSpPr>
          <xdr:cNvPr id="498" name="497 Conector recto">
            <a:extLst>
              <a:ext uri="{FF2B5EF4-FFF2-40B4-BE49-F238E27FC236}">
                <a16:creationId xmlns:a16="http://schemas.microsoft.com/office/drawing/2014/main" id="{B455F4FF-FAA5-67B9-55D6-52452774C141}"/>
              </a:ext>
            </a:extLst>
          </xdr:cNvPr>
          <xdr:cNvCxnSpPr/>
        </xdr:nvCxnSpPr>
        <xdr:spPr>
          <a:xfrm rot="5400000" flipH="1" flipV="1">
            <a:off x="4983955" y="665563"/>
            <a:ext cx="69055" cy="0"/>
          </a:xfrm>
          <a:prstGeom prst="line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</xdr:col>
      <xdr:colOff>154781</xdr:colOff>
      <xdr:row>82</xdr:row>
      <xdr:rowOff>104775</xdr:rowOff>
    </xdr:from>
    <xdr:to>
      <xdr:col>2</xdr:col>
      <xdr:colOff>504825</xdr:colOff>
      <xdr:row>82</xdr:row>
      <xdr:rowOff>104775</xdr:rowOff>
    </xdr:to>
    <xdr:cxnSp macro="">
      <xdr:nvCxnSpPr>
        <xdr:cNvPr id="499" name="498 Conector recto">
          <a:extLst>
            <a:ext uri="{FF2B5EF4-FFF2-40B4-BE49-F238E27FC236}">
              <a16:creationId xmlns:a16="http://schemas.microsoft.com/office/drawing/2014/main" id="{71514C20-513C-F87F-4989-1540644F66C5}"/>
            </a:ext>
          </a:extLst>
        </xdr:cNvPr>
        <xdr:cNvCxnSpPr/>
      </xdr:nvCxnSpPr>
      <xdr:spPr>
        <a:xfrm>
          <a:off x="4984516" y="17698010"/>
          <a:ext cx="350044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95250</xdr:colOff>
      <xdr:row>84</xdr:row>
      <xdr:rowOff>76200</xdr:rowOff>
    </xdr:from>
    <xdr:to>
      <xdr:col>2</xdr:col>
      <xdr:colOff>495300</xdr:colOff>
      <xdr:row>84</xdr:row>
      <xdr:rowOff>142875</xdr:rowOff>
    </xdr:to>
    <xdr:grpSp>
      <xdr:nvGrpSpPr>
        <xdr:cNvPr id="149716" name="270 Grupo">
          <a:extLst>
            <a:ext uri="{FF2B5EF4-FFF2-40B4-BE49-F238E27FC236}">
              <a16:creationId xmlns:a16="http://schemas.microsoft.com/office/drawing/2014/main" id="{28576CAA-148E-7103-3D4D-ADAE3B0C6421}"/>
            </a:ext>
          </a:extLst>
        </xdr:cNvPr>
        <xdr:cNvGrpSpPr>
          <a:grpSpLocks/>
        </xdr:cNvGrpSpPr>
      </xdr:nvGrpSpPr>
      <xdr:grpSpPr bwMode="auto">
        <a:xfrm>
          <a:off x="4962525" y="17125950"/>
          <a:ext cx="400050" cy="66675"/>
          <a:chOff x="4041542" y="677472"/>
          <a:chExt cx="400879" cy="69058"/>
        </a:xfrm>
      </xdr:grpSpPr>
      <xdr:sp macro="" textlink="">
        <xdr:nvSpPr>
          <xdr:cNvPr id="149870" name="Line 46">
            <a:extLst>
              <a:ext uri="{FF2B5EF4-FFF2-40B4-BE49-F238E27FC236}">
                <a16:creationId xmlns:a16="http://schemas.microsoft.com/office/drawing/2014/main" id="{A804AAA4-3E6D-4959-59F6-5C90A7EFFC47}"/>
              </a:ext>
            </a:extLst>
          </xdr:cNvPr>
          <xdr:cNvSpPr>
            <a:spLocks noChangeShapeType="1"/>
          </xdr:cNvSpPr>
        </xdr:nvSpPr>
        <xdr:spPr bwMode="auto">
          <a:xfrm>
            <a:off x="4048125" y="682136"/>
            <a:ext cx="392723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cxnSp macro="">
        <xdr:nvCxnSpPr>
          <xdr:cNvPr id="502" name="501 Conector recto">
            <a:extLst>
              <a:ext uri="{FF2B5EF4-FFF2-40B4-BE49-F238E27FC236}">
                <a16:creationId xmlns:a16="http://schemas.microsoft.com/office/drawing/2014/main" id="{E800866B-9D55-09DE-224A-8DC91FF7322F}"/>
              </a:ext>
            </a:extLst>
          </xdr:cNvPr>
          <xdr:cNvCxnSpPr/>
        </xdr:nvCxnSpPr>
        <xdr:spPr>
          <a:xfrm rot="5400000" flipH="1" flipV="1">
            <a:off x="4007012" y="712002"/>
            <a:ext cx="69058" cy="0"/>
          </a:xfrm>
          <a:prstGeom prst="line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03" name="502 Conector recto">
            <a:extLst>
              <a:ext uri="{FF2B5EF4-FFF2-40B4-BE49-F238E27FC236}">
                <a16:creationId xmlns:a16="http://schemas.microsoft.com/office/drawing/2014/main" id="{4422DBB7-B72A-E416-1D48-A3B97EF6457F}"/>
              </a:ext>
            </a:extLst>
          </xdr:cNvPr>
          <xdr:cNvCxnSpPr/>
        </xdr:nvCxnSpPr>
        <xdr:spPr>
          <a:xfrm rot="5400000" flipH="1" flipV="1">
            <a:off x="4407891" y="712002"/>
            <a:ext cx="69058" cy="0"/>
          </a:xfrm>
          <a:prstGeom prst="line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</xdr:col>
      <xdr:colOff>95250</xdr:colOff>
      <xdr:row>85</xdr:row>
      <xdr:rowOff>76200</xdr:rowOff>
    </xdr:from>
    <xdr:to>
      <xdr:col>2</xdr:col>
      <xdr:colOff>495300</xdr:colOff>
      <xdr:row>85</xdr:row>
      <xdr:rowOff>142875</xdr:rowOff>
    </xdr:to>
    <xdr:grpSp>
      <xdr:nvGrpSpPr>
        <xdr:cNvPr id="149717" name="270 Grupo">
          <a:extLst>
            <a:ext uri="{FF2B5EF4-FFF2-40B4-BE49-F238E27FC236}">
              <a16:creationId xmlns:a16="http://schemas.microsoft.com/office/drawing/2014/main" id="{B93E9202-6DEF-C314-9E1D-FF9275AF7DEE}"/>
            </a:ext>
          </a:extLst>
        </xdr:cNvPr>
        <xdr:cNvGrpSpPr>
          <a:grpSpLocks/>
        </xdr:cNvGrpSpPr>
      </xdr:nvGrpSpPr>
      <xdr:grpSpPr bwMode="auto">
        <a:xfrm>
          <a:off x="4962525" y="17325975"/>
          <a:ext cx="400050" cy="66675"/>
          <a:chOff x="4041542" y="677472"/>
          <a:chExt cx="400879" cy="69058"/>
        </a:xfrm>
      </xdr:grpSpPr>
      <xdr:sp macro="" textlink="">
        <xdr:nvSpPr>
          <xdr:cNvPr id="149867" name="Line 46">
            <a:extLst>
              <a:ext uri="{FF2B5EF4-FFF2-40B4-BE49-F238E27FC236}">
                <a16:creationId xmlns:a16="http://schemas.microsoft.com/office/drawing/2014/main" id="{5467BC32-9253-A1DE-34B9-5BEE36D3A635}"/>
              </a:ext>
            </a:extLst>
          </xdr:cNvPr>
          <xdr:cNvSpPr>
            <a:spLocks noChangeShapeType="1"/>
          </xdr:cNvSpPr>
        </xdr:nvSpPr>
        <xdr:spPr bwMode="auto">
          <a:xfrm>
            <a:off x="4048125" y="682136"/>
            <a:ext cx="392723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cxnSp macro="">
        <xdr:nvCxnSpPr>
          <xdr:cNvPr id="506" name="505 Conector recto">
            <a:extLst>
              <a:ext uri="{FF2B5EF4-FFF2-40B4-BE49-F238E27FC236}">
                <a16:creationId xmlns:a16="http://schemas.microsoft.com/office/drawing/2014/main" id="{078E6471-E535-6CED-0673-CFE4085AEEAE}"/>
              </a:ext>
            </a:extLst>
          </xdr:cNvPr>
          <xdr:cNvCxnSpPr/>
        </xdr:nvCxnSpPr>
        <xdr:spPr>
          <a:xfrm rot="5400000" flipH="1" flipV="1">
            <a:off x="4007012" y="712002"/>
            <a:ext cx="69058" cy="0"/>
          </a:xfrm>
          <a:prstGeom prst="line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07" name="506 Conector recto">
            <a:extLst>
              <a:ext uri="{FF2B5EF4-FFF2-40B4-BE49-F238E27FC236}">
                <a16:creationId xmlns:a16="http://schemas.microsoft.com/office/drawing/2014/main" id="{A980E9BD-797D-D512-3FE7-FB6425599D43}"/>
              </a:ext>
            </a:extLst>
          </xdr:cNvPr>
          <xdr:cNvCxnSpPr/>
        </xdr:nvCxnSpPr>
        <xdr:spPr>
          <a:xfrm rot="5400000" flipH="1" flipV="1">
            <a:off x="4407891" y="712002"/>
            <a:ext cx="69058" cy="0"/>
          </a:xfrm>
          <a:prstGeom prst="line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</xdr:col>
      <xdr:colOff>161925</xdr:colOff>
      <xdr:row>86</xdr:row>
      <xdr:rowOff>28575</xdr:rowOff>
    </xdr:from>
    <xdr:to>
      <xdr:col>2</xdr:col>
      <xdr:colOff>476250</xdr:colOff>
      <xdr:row>86</xdr:row>
      <xdr:rowOff>104775</xdr:rowOff>
    </xdr:to>
    <xdr:grpSp>
      <xdr:nvGrpSpPr>
        <xdr:cNvPr id="149718" name="300 Grupo">
          <a:extLst>
            <a:ext uri="{FF2B5EF4-FFF2-40B4-BE49-F238E27FC236}">
              <a16:creationId xmlns:a16="http://schemas.microsoft.com/office/drawing/2014/main" id="{7AD3B4C1-BD52-C279-B7B8-631C29F05373}"/>
            </a:ext>
          </a:extLst>
        </xdr:cNvPr>
        <xdr:cNvGrpSpPr>
          <a:grpSpLocks/>
        </xdr:cNvGrpSpPr>
      </xdr:nvGrpSpPr>
      <xdr:grpSpPr bwMode="auto">
        <a:xfrm>
          <a:off x="5029200" y="17478375"/>
          <a:ext cx="314325" cy="76200"/>
          <a:chOff x="4707729" y="631035"/>
          <a:chExt cx="310753" cy="69055"/>
        </a:xfrm>
      </xdr:grpSpPr>
      <xdr:sp macro="" textlink="">
        <xdr:nvSpPr>
          <xdr:cNvPr id="149865" name="Line 46">
            <a:extLst>
              <a:ext uri="{FF2B5EF4-FFF2-40B4-BE49-F238E27FC236}">
                <a16:creationId xmlns:a16="http://schemas.microsoft.com/office/drawing/2014/main" id="{E34CC581-C8B1-48A7-68CC-2BFCEEA29C70}"/>
              </a:ext>
            </a:extLst>
          </xdr:cNvPr>
          <xdr:cNvSpPr>
            <a:spLocks noChangeShapeType="1"/>
          </xdr:cNvSpPr>
        </xdr:nvSpPr>
        <xdr:spPr bwMode="auto">
          <a:xfrm>
            <a:off x="4707729" y="697708"/>
            <a:ext cx="304800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cxnSp macro="">
        <xdr:nvCxnSpPr>
          <xdr:cNvPr id="510" name="509 Conector recto">
            <a:extLst>
              <a:ext uri="{FF2B5EF4-FFF2-40B4-BE49-F238E27FC236}">
                <a16:creationId xmlns:a16="http://schemas.microsoft.com/office/drawing/2014/main" id="{B48A2A6E-F6B7-5D3B-84CC-2FB137ABDEC0}"/>
              </a:ext>
            </a:extLst>
          </xdr:cNvPr>
          <xdr:cNvCxnSpPr/>
        </xdr:nvCxnSpPr>
        <xdr:spPr>
          <a:xfrm rot="5400000" flipH="1" flipV="1">
            <a:off x="4983955" y="665562"/>
            <a:ext cx="69055" cy="0"/>
          </a:xfrm>
          <a:prstGeom prst="line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</xdr:col>
      <xdr:colOff>154781</xdr:colOff>
      <xdr:row>87</xdr:row>
      <xdr:rowOff>104775</xdr:rowOff>
    </xdr:from>
    <xdr:to>
      <xdr:col>2</xdr:col>
      <xdr:colOff>504825</xdr:colOff>
      <xdr:row>87</xdr:row>
      <xdr:rowOff>104775</xdr:rowOff>
    </xdr:to>
    <xdr:cxnSp macro="">
      <xdr:nvCxnSpPr>
        <xdr:cNvPr id="511" name="510 Conector recto">
          <a:extLst>
            <a:ext uri="{FF2B5EF4-FFF2-40B4-BE49-F238E27FC236}">
              <a16:creationId xmlns:a16="http://schemas.microsoft.com/office/drawing/2014/main" id="{9306CE75-20ED-7726-90C3-1AEAE95C383B}"/>
            </a:ext>
          </a:extLst>
        </xdr:cNvPr>
        <xdr:cNvCxnSpPr/>
      </xdr:nvCxnSpPr>
      <xdr:spPr>
        <a:xfrm>
          <a:off x="4984516" y="16689481"/>
          <a:ext cx="350044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95250</xdr:colOff>
      <xdr:row>89</xdr:row>
      <xdr:rowOff>76200</xdr:rowOff>
    </xdr:from>
    <xdr:to>
      <xdr:col>2</xdr:col>
      <xdr:colOff>495300</xdr:colOff>
      <xdr:row>89</xdr:row>
      <xdr:rowOff>142875</xdr:rowOff>
    </xdr:to>
    <xdr:grpSp>
      <xdr:nvGrpSpPr>
        <xdr:cNvPr id="149720" name="270 Grupo">
          <a:extLst>
            <a:ext uri="{FF2B5EF4-FFF2-40B4-BE49-F238E27FC236}">
              <a16:creationId xmlns:a16="http://schemas.microsoft.com/office/drawing/2014/main" id="{D956BD2D-E4CC-D880-9460-09721BF549CF}"/>
            </a:ext>
          </a:extLst>
        </xdr:cNvPr>
        <xdr:cNvGrpSpPr>
          <a:grpSpLocks/>
        </xdr:cNvGrpSpPr>
      </xdr:nvGrpSpPr>
      <xdr:grpSpPr bwMode="auto">
        <a:xfrm>
          <a:off x="4962525" y="18126075"/>
          <a:ext cx="400050" cy="66675"/>
          <a:chOff x="4041542" y="677472"/>
          <a:chExt cx="400879" cy="69058"/>
        </a:xfrm>
      </xdr:grpSpPr>
      <xdr:sp macro="" textlink="">
        <xdr:nvSpPr>
          <xdr:cNvPr id="149862" name="Line 46">
            <a:extLst>
              <a:ext uri="{FF2B5EF4-FFF2-40B4-BE49-F238E27FC236}">
                <a16:creationId xmlns:a16="http://schemas.microsoft.com/office/drawing/2014/main" id="{6D5C167D-6A1D-EA8D-2ECC-503747848A40}"/>
              </a:ext>
            </a:extLst>
          </xdr:cNvPr>
          <xdr:cNvSpPr>
            <a:spLocks noChangeShapeType="1"/>
          </xdr:cNvSpPr>
        </xdr:nvSpPr>
        <xdr:spPr bwMode="auto">
          <a:xfrm>
            <a:off x="4048125" y="682136"/>
            <a:ext cx="392723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cxnSp macro="">
        <xdr:nvCxnSpPr>
          <xdr:cNvPr id="514" name="513 Conector recto">
            <a:extLst>
              <a:ext uri="{FF2B5EF4-FFF2-40B4-BE49-F238E27FC236}">
                <a16:creationId xmlns:a16="http://schemas.microsoft.com/office/drawing/2014/main" id="{41F1C08C-8F4A-81F4-22BF-174AE587471F}"/>
              </a:ext>
            </a:extLst>
          </xdr:cNvPr>
          <xdr:cNvCxnSpPr/>
        </xdr:nvCxnSpPr>
        <xdr:spPr>
          <a:xfrm rot="5400000" flipH="1" flipV="1">
            <a:off x="4007012" y="712002"/>
            <a:ext cx="69058" cy="0"/>
          </a:xfrm>
          <a:prstGeom prst="line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15" name="514 Conector recto">
            <a:extLst>
              <a:ext uri="{FF2B5EF4-FFF2-40B4-BE49-F238E27FC236}">
                <a16:creationId xmlns:a16="http://schemas.microsoft.com/office/drawing/2014/main" id="{C30D4804-11D5-10D2-5367-C5620D42AEC9}"/>
              </a:ext>
            </a:extLst>
          </xdr:cNvPr>
          <xdr:cNvCxnSpPr/>
        </xdr:nvCxnSpPr>
        <xdr:spPr>
          <a:xfrm rot="5400000" flipH="1" flipV="1">
            <a:off x="4407891" y="712002"/>
            <a:ext cx="69058" cy="0"/>
          </a:xfrm>
          <a:prstGeom prst="line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</xdr:col>
      <xdr:colOff>95250</xdr:colOff>
      <xdr:row>90</xdr:row>
      <xdr:rowOff>76200</xdr:rowOff>
    </xdr:from>
    <xdr:to>
      <xdr:col>2</xdr:col>
      <xdr:colOff>495300</xdr:colOff>
      <xdr:row>90</xdr:row>
      <xdr:rowOff>142875</xdr:rowOff>
    </xdr:to>
    <xdr:grpSp>
      <xdr:nvGrpSpPr>
        <xdr:cNvPr id="149721" name="270 Grupo">
          <a:extLst>
            <a:ext uri="{FF2B5EF4-FFF2-40B4-BE49-F238E27FC236}">
              <a16:creationId xmlns:a16="http://schemas.microsoft.com/office/drawing/2014/main" id="{9BCBE653-48A5-69BD-4645-383A9C239B06}"/>
            </a:ext>
          </a:extLst>
        </xdr:cNvPr>
        <xdr:cNvGrpSpPr>
          <a:grpSpLocks/>
        </xdr:cNvGrpSpPr>
      </xdr:nvGrpSpPr>
      <xdr:grpSpPr bwMode="auto">
        <a:xfrm>
          <a:off x="4962525" y="18326100"/>
          <a:ext cx="400050" cy="66675"/>
          <a:chOff x="4041542" y="677472"/>
          <a:chExt cx="400879" cy="69058"/>
        </a:xfrm>
      </xdr:grpSpPr>
      <xdr:sp macro="" textlink="">
        <xdr:nvSpPr>
          <xdr:cNvPr id="149859" name="Line 46">
            <a:extLst>
              <a:ext uri="{FF2B5EF4-FFF2-40B4-BE49-F238E27FC236}">
                <a16:creationId xmlns:a16="http://schemas.microsoft.com/office/drawing/2014/main" id="{4BDFBA0F-EA9B-31DC-079A-56690861A470}"/>
              </a:ext>
            </a:extLst>
          </xdr:cNvPr>
          <xdr:cNvSpPr>
            <a:spLocks noChangeShapeType="1"/>
          </xdr:cNvSpPr>
        </xdr:nvSpPr>
        <xdr:spPr bwMode="auto">
          <a:xfrm>
            <a:off x="4048125" y="682136"/>
            <a:ext cx="392723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cxnSp macro="">
        <xdr:nvCxnSpPr>
          <xdr:cNvPr id="518" name="517 Conector recto">
            <a:extLst>
              <a:ext uri="{FF2B5EF4-FFF2-40B4-BE49-F238E27FC236}">
                <a16:creationId xmlns:a16="http://schemas.microsoft.com/office/drawing/2014/main" id="{F70C7709-9A4E-2FA4-C0AD-9ABAB59792A0}"/>
              </a:ext>
            </a:extLst>
          </xdr:cNvPr>
          <xdr:cNvCxnSpPr/>
        </xdr:nvCxnSpPr>
        <xdr:spPr>
          <a:xfrm rot="5400000" flipH="1" flipV="1">
            <a:off x="4007012" y="712002"/>
            <a:ext cx="69058" cy="0"/>
          </a:xfrm>
          <a:prstGeom prst="line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19" name="518 Conector recto">
            <a:extLst>
              <a:ext uri="{FF2B5EF4-FFF2-40B4-BE49-F238E27FC236}">
                <a16:creationId xmlns:a16="http://schemas.microsoft.com/office/drawing/2014/main" id="{8DD1A610-3971-1C8C-BE48-150534A011D5}"/>
              </a:ext>
            </a:extLst>
          </xdr:cNvPr>
          <xdr:cNvCxnSpPr/>
        </xdr:nvCxnSpPr>
        <xdr:spPr>
          <a:xfrm rot="5400000" flipH="1" flipV="1">
            <a:off x="4407891" y="712002"/>
            <a:ext cx="69058" cy="0"/>
          </a:xfrm>
          <a:prstGeom prst="line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</xdr:col>
      <xdr:colOff>161925</xdr:colOff>
      <xdr:row>91</xdr:row>
      <xdr:rowOff>28575</xdr:rowOff>
    </xdr:from>
    <xdr:to>
      <xdr:col>2</xdr:col>
      <xdr:colOff>476250</xdr:colOff>
      <xdr:row>91</xdr:row>
      <xdr:rowOff>104775</xdr:rowOff>
    </xdr:to>
    <xdr:grpSp>
      <xdr:nvGrpSpPr>
        <xdr:cNvPr id="149722" name="300 Grupo">
          <a:extLst>
            <a:ext uri="{FF2B5EF4-FFF2-40B4-BE49-F238E27FC236}">
              <a16:creationId xmlns:a16="http://schemas.microsoft.com/office/drawing/2014/main" id="{84D22460-48E5-0EE7-88AE-0372D011E1A8}"/>
            </a:ext>
          </a:extLst>
        </xdr:cNvPr>
        <xdr:cNvGrpSpPr>
          <a:grpSpLocks/>
        </xdr:cNvGrpSpPr>
      </xdr:nvGrpSpPr>
      <xdr:grpSpPr bwMode="auto">
        <a:xfrm>
          <a:off x="5029200" y="18478500"/>
          <a:ext cx="314325" cy="76200"/>
          <a:chOff x="4707729" y="631035"/>
          <a:chExt cx="310753" cy="69055"/>
        </a:xfrm>
      </xdr:grpSpPr>
      <xdr:sp macro="" textlink="">
        <xdr:nvSpPr>
          <xdr:cNvPr id="149857" name="Line 46">
            <a:extLst>
              <a:ext uri="{FF2B5EF4-FFF2-40B4-BE49-F238E27FC236}">
                <a16:creationId xmlns:a16="http://schemas.microsoft.com/office/drawing/2014/main" id="{24F18977-43B6-C222-6E7A-47778C3544DF}"/>
              </a:ext>
            </a:extLst>
          </xdr:cNvPr>
          <xdr:cNvSpPr>
            <a:spLocks noChangeShapeType="1"/>
          </xdr:cNvSpPr>
        </xdr:nvSpPr>
        <xdr:spPr bwMode="auto">
          <a:xfrm>
            <a:off x="4707729" y="697708"/>
            <a:ext cx="304800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cxnSp macro="">
        <xdr:nvCxnSpPr>
          <xdr:cNvPr id="522" name="521 Conector recto">
            <a:extLst>
              <a:ext uri="{FF2B5EF4-FFF2-40B4-BE49-F238E27FC236}">
                <a16:creationId xmlns:a16="http://schemas.microsoft.com/office/drawing/2014/main" id="{65C8879E-7912-7D4E-706B-7FFE95EDD5BA}"/>
              </a:ext>
            </a:extLst>
          </xdr:cNvPr>
          <xdr:cNvCxnSpPr/>
        </xdr:nvCxnSpPr>
        <xdr:spPr>
          <a:xfrm rot="5400000" flipH="1" flipV="1">
            <a:off x="4983955" y="665563"/>
            <a:ext cx="69055" cy="0"/>
          </a:xfrm>
          <a:prstGeom prst="line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</xdr:col>
      <xdr:colOff>154781</xdr:colOff>
      <xdr:row>92</xdr:row>
      <xdr:rowOff>104775</xdr:rowOff>
    </xdr:from>
    <xdr:to>
      <xdr:col>2</xdr:col>
      <xdr:colOff>504825</xdr:colOff>
      <xdr:row>92</xdr:row>
      <xdr:rowOff>104775</xdr:rowOff>
    </xdr:to>
    <xdr:cxnSp macro="">
      <xdr:nvCxnSpPr>
        <xdr:cNvPr id="523" name="522 Conector recto">
          <a:extLst>
            <a:ext uri="{FF2B5EF4-FFF2-40B4-BE49-F238E27FC236}">
              <a16:creationId xmlns:a16="http://schemas.microsoft.com/office/drawing/2014/main" id="{81BF823C-DCBC-1D09-9254-9D1E78991381}"/>
            </a:ext>
          </a:extLst>
        </xdr:cNvPr>
        <xdr:cNvCxnSpPr/>
      </xdr:nvCxnSpPr>
      <xdr:spPr>
        <a:xfrm>
          <a:off x="4984516" y="17698010"/>
          <a:ext cx="350044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95250</xdr:colOff>
      <xdr:row>94</xdr:row>
      <xdr:rowOff>76200</xdr:rowOff>
    </xdr:from>
    <xdr:to>
      <xdr:col>2</xdr:col>
      <xdr:colOff>495300</xdr:colOff>
      <xdr:row>94</xdr:row>
      <xdr:rowOff>142875</xdr:rowOff>
    </xdr:to>
    <xdr:grpSp>
      <xdr:nvGrpSpPr>
        <xdr:cNvPr id="149724" name="270 Grupo">
          <a:extLst>
            <a:ext uri="{FF2B5EF4-FFF2-40B4-BE49-F238E27FC236}">
              <a16:creationId xmlns:a16="http://schemas.microsoft.com/office/drawing/2014/main" id="{C930A8A6-B69E-2A70-F2B8-A18C2EEF090F}"/>
            </a:ext>
          </a:extLst>
        </xdr:cNvPr>
        <xdr:cNvGrpSpPr>
          <a:grpSpLocks/>
        </xdr:cNvGrpSpPr>
      </xdr:nvGrpSpPr>
      <xdr:grpSpPr bwMode="auto">
        <a:xfrm>
          <a:off x="4962525" y="19126200"/>
          <a:ext cx="400050" cy="66675"/>
          <a:chOff x="4041542" y="677472"/>
          <a:chExt cx="400879" cy="69058"/>
        </a:xfrm>
      </xdr:grpSpPr>
      <xdr:sp macro="" textlink="">
        <xdr:nvSpPr>
          <xdr:cNvPr id="149854" name="Line 46">
            <a:extLst>
              <a:ext uri="{FF2B5EF4-FFF2-40B4-BE49-F238E27FC236}">
                <a16:creationId xmlns:a16="http://schemas.microsoft.com/office/drawing/2014/main" id="{9183B7D6-E1D4-2275-35F5-A1EBE2B659F9}"/>
              </a:ext>
            </a:extLst>
          </xdr:cNvPr>
          <xdr:cNvSpPr>
            <a:spLocks noChangeShapeType="1"/>
          </xdr:cNvSpPr>
        </xdr:nvSpPr>
        <xdr:spPr bwMode="auto">
          <a:xfrm>
            <a:off x="4048125" y="682136"/>
            <a:ext cx="392723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cxnSp macro="">
        <xdr:nvCxnSpPr>
          <xdr:cNvPr id="526" name="525 Conector recto">
            <a:extLst>
              <a:ext uri="{FF2B5EF4-FFF2-40B4-BE49-F238E27FC236}">
                <a16:creationId xmlns:a16="http://schemas.microsoft.com/office/drawing/2014/main" id="{6B0FE661-3813-7B46-7E3C-271A9797AED2}"/>
              </a:ext>
            </a:extLst>
          </xdr:cNvPr>
          <xdr:cNvCxnSpPr/>
        </xdr:nvCxnSpPr>
        <xdr:spPr>
          <a:xfrm rot="5400000" flipH="1" flipV="1">
            <a:off x="4007012" y="712002"/>
            <a:ext cx="69058" cy="0"/>
          </a:xfrm>
          <a:prstGeom prst="line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27" name="526 Conector recto">
            <a:extLst>
              <a:ext uri="{FF2B5EF4-FFF2-40B4-BE49-F238E27FC236}">
                <a16:creationId xmlns:a16="http://schemas.microsoft.com/office/drawing/2014/main" id="{40D1CEC7-1C9B-6B2B-D43B-D610A881589E}"/>
              </a:ext>
            </a:extLst>
          </xdr:cNvPr>
          <xdr:cNvCxnSpPr/>
        </xdr:nvCxnSpPr>
        <xdr:spPr>
          <a:xfrm rot="5400000" flipH="1" flipV="1">
            <a:off x="4407891" y="712002"/>
            <a:ext cx="69058" cy="0"/>
          </a:xfrm>
          <a:prstGeom prst="line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</xdr:col>
      <xdr:colOff>95250</xdr:colOff>
      <xdr:row>95</xdr:row>
      <xdr:rowOff>76200</xdr:rowOff>
    </xdr:from>
    <xdr:to>
      <xdr:col>2</xdr:col>
      <xdr:colOff>495300</xdr:colOff>
      <xdr:row>95</xdr:row>
      <xdr:rowOff>142875</xdr:rowOff>
    </xdr:to>
    <xdr:grpSp>
      <xdr:nvGrpSpPr>
        <xdr:cNvPr id="149725" name="270 Grupo">
          <a:extLst>
            <a:ext uri="{FF2B5EF4-FFF2-40B4-BE49-F238E27FC236}">
              <a16:creationId xmlns:a16="http://schemas.microsoft.com/office/drawing/2014/main" id="{8E5D736E-8840-1D66-C467-B7DF0CF076EB}"/>
            </a:ext>
          </a:extLst>
        </xdr:cNvPr>
        <xdr:cNvGrpSpPr>
          <a:grpSpLocks/>
        </xdr:cNvGrpSpPr>
      </xdr:nvGrpSpPr>
      <xdr:grpSpPr bwMode="auto">
        <a:xfrm>
          <a:off x="4962525" y="19326225"/>
          <a:ext cx="400050" cy="66675"/>
          <a:chOff x="4041542" y="677472"/>
          <a:chExt cx="400879" cy="69058"/>
        </a:xfrm>
      </xdr:grpSpPr>
      <xdr:sp macro="" textlink="">
        <xdr:nvSpPr>
          <xdr:cNvPr id="149851" name="Line 46">
            <a:extLst>
              <a:ext uri="{FF2B5EF4-FFF2-40B4-BE49-F238E27FC236}">
                <a16:creationId xmlns:a16="http://schemas.microsoft.com/office/drawing/2014/main" id="{90C12348-5FFD-27CD-51AD-6B89D59FBCF2}"/>
              </a:ext>
            </a:extLst>
          </xdr:cNvPr>
          <xdr:cNvSpPr>
            <a:spLocks noChangeShapeType="1"/>
          </xdr:cNvSpPr>
        </xdr:nvSpPr>
        <xdr:spPr bwMode="auto">
          <a:xfrm>
            <a:off x="4048125" y="682136"/>
            <a:ext cx="392723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cxnSp macro="">
        <xdr:nvCxnSpPr>
          <xdr:cNvPr id="530" name="529 Conector recto">
            <a:extLst>
              <a:ext uri="{FF2B5EF4-FFF2-40B4-BE49-F238E27FC236}">
                <a16:creationId xmlns:a16="http://schemas.microsoft.com/office/drawing/2014/main" id="{9F075889-FECB-E38B-BBA0-38457EF83623}"/>
              </a:ext>
            </a:extLst>
          </xdr:cNvPr>
          <xdr:cNvCxnSpPr/>
        </xdr:nvCxnSpPr>
        <xdr:spPr>
          <a:xfrm rot="5400000" flipH="1" flipV="1">
            <a:off x="4007012" y="712002"/>
            <a:ext cx="69058" cy="0"/>
          </a:xfrm>
          <a:prstGeom prst="line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31" name="530 Conector recto">
            <a:extLst>
              <a:ext uri="{FF2B5EF4-FFF2-40B4-BE49-F238E27FC236}">
                <a16:creationId xmlns:a16="http://schemas.microsoft.com/office/drawing/2014/main" id="{B8BFC3E6-767F-DE97-E1B1-B214A406A03F}"/>
              </a:ext>
            </a:extLst>
          </xdr:cNvPr>
          <xdr:cNvCxnSpPr/>
        </xdr:nvCxnSpPr>
        <xdr:spPr>
          <a:xfrm rot="5400000" flipH="1" flipV="1">
            <a:off x="4407891" y="712002"/>
            <a:ext cx="69058" cy="0"/>
          </a:xfrm>
          <a:prstGeom prst="line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</xdr:col>
      <xdr:colOff>154781</xdr:colOff>
      <xdr:row>97</xdr:row>
      <xdr:rowOff>104775</xdr:rowOff>
    </xdr:from>
    <xdr:to>
      <xdr:col>2</xdr:col>
      <xdr:colOff>504825</xdr:colOff>
      <xdr:row>97</xdr:row>
      <xdr:rowOff>104775</xdr:rowOff>
    </xdr:to>
    <xdr:cxnSp macro="">
      <xdr:nvCxnSpPr>
        <xdr:cNvPr id="535" name="534 Conector recto">
          <a:extLst>
            <a:ext uri="{FF2B5EF4-FFF2-40B4-BE49-F238E27FC236}">
              <a16:creationId xmlns:a16="http://schemas.microsoft.com/office/drawing/2014/main" id="{ED712C59-B9A0-695B-7CB5-4DF5629F2D41}"/>
            </a:ext>
          </a:extLst>
        </xdr:cNvPr>
        <xdr:cNvCxnSpPr/>
      </xdr:nvCxnSpPr>
      <xdr:spPr>
        <a:xfrm>
          <a:off x="4984516" y="18706540"/>
          <a:ext cx="350044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95250</xdr:colOff>
      <xdr:row>127</xdr:row>
      <xdr:rowOff>76200</xdr:rowOff>
    </xdr:from>
    <xdr:to>
      <xdr:col>2</xdr:col>
      <xdr:colOff>495300</xdr:colOff>
      <xdr:row>127</xdr:row>
      <xdr:rowOff>142875</xdr:rowOff>
    </xdr:to>
    <xdr:grpSp>
      <xdr:nvGrpSpPr>
        <xdr:cNvPr id="149727" name="285 Grupo">
          <a:extLst>
            <a:ext uri="{FF2B5EF4-FFF2-40B4-BE49-F238E27FC236}">
              <a16:creationId xmlns:a16="http://schemas.microsoft.com/office/drawing/2014/main" id="{377EB9A4-B26E-010A-C1AF-C71EA801D43C}"/>
            </a:ext>
          </a:extLst>
        </xdr:cNvPr>
        <xdr:cNvGrpSpPr>
          <a:grpSpLocks/>
        </xdr:cNvGrpSpPr>
      </xdr:nvGrpSpPr>
      <xdr:grpSpPr bwMode="auto">
        <a:xfrm>
          <a:off x="4962525" y="25727025"/>
          <a:ext cx="400050" cy="66675"/>
          <a:chOff x="4041542" y="677472"/>
          <a:chExt cx="400879" cy="69058"/>
        </a:xfrm>
      </xdr:grpSpPr>
      <xdr:sp macro="" textlink="">
        <xdr:nvSpPr>
          <xdr:cNvPr id="149848" name="Line 46">
            <a:extLst>
              <a:ext uri="{FF2B5EF4-FFF2-40B4-BE49-F238E27FC236}">
                <a16:creationId xmlns:a16="http://schemas.microsoft.com/office/drawing/2014/main" id="{5C46C7F1-3D95-5952-FA07-8A7BEF1CB9AC}"/>
              </a:ext>
            </a:extLst>
          </xdr:cNvPr>
          <xdr:cNvSpPr>
            <a:spLocks noChangeShapeType="1"/>
          </xdr:cNvSpPr>
        </xdr:nvSpPr>
        <xdr:spPr bwMode="auto">
          <a:xfrm>
            <a:off x="4048125" y="682136"/>
            <a:ext cx="392723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cxnSp macro="">
        <xdr:nvCxnSpPr>
          <xdr:cNvPr id="550" name="549 Conector recto">
            <a:extLst>
              <a:ext uri="{FF2B5EF4-FFF2-40B4-BE49-F238E27FC236}">
                <a16:creationId xmlns:a16="http://schemas.microsoft.com/office/drawing/2014/main" id="{23A068DA-4DBB-820A-2F67-A44F20D3B0E5}"/>
              </a:ext>
            </a:extLst>
          </xdr:cNvPr>
          <xdr:cNvCxnSpPr/>
        </xdr:nvCxnSpPr>
        <xdr:spPr>
          <a:xfrm rot="5400000" flipH="1" flipV="1">
            <a:off x="4007012" y="712002"/>
            <a:ext cx="69058" cy="0"/>
          </a:xfrm>
          <a:prstGeom prst="line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51" name="550 Conector recto">
            <a:extLst>
              <a:ext uri="{FF2B5EF4-FFF2-40B4-BE49-F238E27FC236}">
                <a16:creationId xmlns:a16="http://schemas.microsoft.com/office/drawing/2014/main" id="{A17B2804-20E1-40A6-0A43-863B9BA05233}"/>
              </a:ext>
            </a:extLst>
          </xdr:cNvPr>
          <xdr:cNvCxnSpPr/>
        </xdr:nvCxnSpPr>
        <xdr:spPr>
          <a:xfrm rot="5400000" flipH="1" flipV="1">
            <a:off x="4407891" y="712002"/>
            <a:ext cx="69058" cy="0"/>
          </a:xfrm>
          <a:prstGeom prst="line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</xdr:col>
      <xdr:colOff>95250</xdr:colOff>
      <xdr:row>130</xdr:row>
      <xdr:rowOff>76200</xdr:rowOff>
    </xdr:from>
    <xdr:to>
      <xdr:col>2</xdr:col>
      <xdr:colOff>495300</xdr:colOff>
      <xdr:row>130</xdr:row>
      <xdr:rowOff>142875</xdr:rowOff>
    </xdr:to>
    <xdr:grpSp>
      <xdr:nvGrpSpPr>
        <xdr:cNvPr id="149728" name="285 Grupo">
          <a:extLst>
            <a:ext uri="{FF2B5EF4-FFF2-40B4-BE49-F238E27FC236}">
              <a16:creationId xmlns:a16="http://schemas.microsoft.com/office/drawing/2014/main" id="{BAEFC735-FE6E-6D93-23B1-EF2707D4F116}"/>
            </a:ext>
          </a:extLst>
        </xdr:cNvPr>
        <xdr:cNvGrpSpPr>
          <a:grpSpLocks/>
        </xdr:cNvGrpSpPr>
      </xdr:nvGrpSpPr>
      <xdr:grpSpPr bwMode="auto">
        <a:xfrm>
          <a:off x="4962525" y="26327100"/>
          <a:ext cx="400050" cy="66675"/>
          <a:chOff x="4041542" y="677472"/>
          <a:chExt cx="400879" cy="69058"/>
        </a:xfrm>
      </xdr:grpSpPr>
      <xdr:sp macro="" textlink="">
        <xdr:nvSpPr>
          <xdr:cNvPr id="149845" name="Line 46">
            <a:extLst>
              <a:ext uri="{FF2B5EF4-FFF2-40B4-BE49-F238E27FC236}">
                <a16:creationId xmlns:a16="http://schemas.microsoft.com/office/drawing/2014/main" id="{778D67E3-31F1-3910-1B6E-BA6B5C589639}"/>
              </a:ext>
            </a:extLst>
          </xdr:cNvPr>
          <xdr:cNvSpPr>
            <a:spLocks noChangeShapeType="1"/>
          </xdr:cNvSpPr>
        </xdr:nvSpPr>
        <xdr:spPr bwMode="auto">
          <a:xfrm>
            <a:off x="4048125" y="682136"/>
            <a:ext cx="392723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cxnSp macro="">
        <xdr:nvCxnSpPr>
          <xdr:cNvPr id="558" name="557 Conector recto">
            <a:extLst>
              <a:ext uri="{FF2B5EF4-FFF2-40B4-BE49-F238E27FC236}">
                <a16:creationId xmlns:a16="http://schemas.microsoft.com/office/drawing/2014/main" id="{82A56350-D3BE-5C88-FE4C-F5A67CA97CB7}"/>
              </a:ext>
            </a:extLst>
          </xdr:cNvPr>
          <xdr:cNvCxnSpPr/>
        </xdr:nvCxnSpPr>
        <xdr:spPr>
          <a:xfrm rot="5400000" flipH="1" flipV="1">
            <a:off x="4007012" y="712002"/>
            <a:ext cx="69058" cy="0"/>
          </a:xfrm>
          <a:prstGeom prst="line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59" name="558 Conector recto">
            <a:extLst>
              <a:ext uri="{FF2B5EF4-FFF2-40B4-BE49-F238E27FC236}">
                <a16:creationId xmlns:a16="http://schemas.microsoft.com/office/drawing/2014/main" id="{5F59BFC4-F52B-E91B-9DAC-2C052A9CD176}"/>
              </a:ext>
            </a:extLst>
          </xdr:cNvPr>
          <xdr:cNvCxnSpPr/>
        </xdr:nvCxnSpPr>
        <xdr:spPr>
          <a:xfrm rot="5400000" flipH="1" flipV="1">
            <a:off x="4407891" y="712002"/>
            <a:ext cx="69058" cy="0"/>
          </a:xfrm>
          <a:prstGeom prst="line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</xdr:col>
      <xdr:colOff>95250</xdr:colOff>
      <xdr:row>131</xdr:row>
      <xdr:rowOff>76200</xdr:rowOff>
    </xdr:from>
    <xdr:to>
      <xdr:col>2</xdr:col>
      <xdr:colOff>495300</xdr:colOff>
      <xdr:row>131</xdr:row>
      <xdr:rowOff>142875</xdr:rowOff>
    </xdr:to>
    <xdr:grpSp>
      <xdr:nvGrpSpPr>
        <xdr:cNvPr id="149729" name="285 Grupo">
          <a:extLst>
            <a:ext uri="{FF2B5EF4-FFF2-40B4-BE49-F238E27FC236}">
              <a16:creationId xmlns:a16="http://schemas.microsoft.com/office/drawing/2014/main" id="{B247B2B1-AE4B-3939-A788-AECB99519239}"/>
            </a:ext>
          </a:extLst>
        </xdr:cNvPr>
        <xdr:cNvGrpSpPr>
          <a:grpSpLocks/>
        </xdr:cNvGrpSpPr>
      </xdr:nvGrpSpPr>
      <xdr:grpSpPr bwMode="auto">
        <a:xfrm>
          <a:off x="4962525" y="26527125"/>
          <a:ext cx="400050" cy="66675"/>
          <a:chOff x="4041542" y="677472"/>
          <a:chExt cx="400879" cy="69058"/>
        </a:xfrm>
      </xdr:grpSpPr>
      <xdr:sp macro="" textlink="">
        <xdr:nvSpPr>
          <xdr:cNvPr id="149842" name="Line 46">
            <a:extLst>
              <a:ext uri="{FF2B5EF4-FFF2-40B4-BE49-F238E27FC236}">
                <a16:creationId xmlns:a16="http://schemas.microsoft.com/office/drawing/2014/main" id="{EF60C7D7-DBCA-DADA-0AE1-24A552FD7AB4}"/>
              </a:ext>
            </a:extLst>
          </xdr:cNvPr>
          <xdr:cNvSpPr>
            <a:spLocks noChangeShapeType="1"/>
          </xdr:cNvSpPr>
        </xdr:nvSpPr>
        <xdr:spPr bwMode="auto">
          <a:xfrm>
            <a:off x="4048125" y="682136"/>
            <a:ext cx="392723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cxnSp macro="">
        <xdr:nvCxnSpPr>
          <xdr:cNvPr id="562" name="561 Conector recto">
            <a:extLst>
              <a:ext uri="{FF2B5EF4-FFF2-40B4-BE49-F238E27FC236}">
                <a16:creationId xmlns:a16="http://schemas.microsoft.com/office/drawing/2014/main" id="{6C49D868-90AD-2891-DB5C-8A15A8EC7B07}"/>
              </a:ext>
            </a:extLst>
          </xdr:cNvPr>
          <xdr:cNvCxnSpPr/>
        </xdr:nvCxnSpPr>
        <xdr:spPr>
          <a:xfrm rot="5400000" flipH="1" flipV="1">
            <a:off x="4007012" y="712002"/>
            <a:ext cx="69058" cy="0"/>
          </a:xfrm>
          <a:prstGeom prst="line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63" name="562 Conector recto">
            <a:extLst>
              <a:ext uri="{FF2B5EF4-FFF2-40B4-BE49-F238E27FC236}">
                <a16:creationId xmlns:a16="http://schemas.microsoft.com/office/drawing/2014/main" id="{F23960AB-3443-EE61-3AC7-ADB381AC84C8}"/>
              </a:ext>
            </a:extLst>
          </xdr:cNvPr>
          <xdr:cNvCxnSpPr/>
        </xdr:nvCxnSpPr>
        <xdr:spPr>
          <a:xfrm rot="5400000" flipH="1" flipV="1">
            <a:off x="4407891" y="712002"/>
            <a:ext cx="69058" cy="0"/>
          </a:xfrm>
          <a:prstGeom prst="line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</xdr:col>
      <xdr:colOff>154781</xdr:colOff>
      <xdr:row>137</xdr:row>
      <xdr:rowOff>104775</xdr:rowOff>
    </xdr:from>
    <xdr:to>
      <xdr:col>2</xdr:col>
      <xdr:colOff>504825</xdr:colOff>
      <xdr:row>137</xdr:row>
      <xdr:rowOff>104775</xdr:rowOff>
    </xdr:to>
    <xdr:cxnSp macro="">
      <xdr:nvCxnSpPr>
        <xdr:cNvPr id="580" name="579 Conector recto">
          <a:extLst>
            <a:ext uri="{FF2B5EF4-FFF2-40B4-BE49-F238E27FC236}">
              <a16:creationId xmlns:a16="http://schemas.microsoft.com/office/drawing/2014/main" id="{7FED83C8-73C9-4184-7528-D858BFBCCCA0}"/>
            </a:ext>
          </a:extLst>
        </xdr:cNvPr>
        <xdr:cNvCxnSpPr/>
      </xdr:nvCxnSpPr>
      <xdr:spPr>
        <a:xfrm>
          <a:off x="4985317" y="30149346"/>
          <a:ext cx="350044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95250</xdr:colOff>
      <xdr:row>144</xdr:row>
      <xdr:rowOff>76200</xdr:rowOff>
    </xdr:from>
    <xdr:to>
      <xdr:col>2</xdr:col>
      <xdr:colOff>495300</xdr:colOff>
      <xdr:row>144</xdr:row>
      <xdr:rowOff>142875</xdr:rowOff>
    </xdr:to>
    <xdr:grpSp>
      <xdr:nvGrpSpPr>
        <xdr:cNvPr id="149731" name="342 Grupo">
          <a:extLst>
            <a:ext uri="{FF2B5EF4-FFF2-40B4-BE49-F238E27FC236}">
              <a16:creationId xmlns:a16="http://schemas.microsoft.com/office/drawing/2014/main" id="{3797820C-ED18-0569-DC90-CEA7AF0AA465}"/>
            </a:ext>
          </a:extLst>
        </xdr:cNvPr>
        <xdr:cNvGrpSpPr>
          <a:grpSpLocks/>
        </xdr:cNvGrpSpPr>
      </xdr:nvGrpSpPr>
      <xdr:grpSpPr bwMode="auto">
        <a:xfrm>
          <a:off x="4962525" y="29127450"/>
          <a:ext cx="400050" cy="66675"/>
          <a:chOff x="4041542" y="677472"/>
          <a:chExt cx="400879" cy="69058"/>
        </a:xfrm>
      </xdr:grpSpPr>
      <xdr:sp macro="" textlink="">
        <xdr:nvSpPr>
          <xdr:cNvPr id="149839" name="Line 46">
            <a:extLst>
              <a:ext uri="{FF2B5EF4-FFF2-40B4-BE49-F238E27FC236}">
                <a16:creationId xmlns:a16="http://schemas.microsoft.com/office/drawing/2014/main" id="{83F1CF2E-00F1-4F1A-B6F3-486397406D30}"/>
              </a:ext>
            </a:extLst>
          </xdr:cNvPr>
          <xdr:cNvSpPr>
            <a:spLocks noChangeShapeType="1"/>
          </xdr:cNvSpPr>
        </xdr:nvSpPr>
        <xdr:spPr bwMode="auto">
          <a:xfrm>
            <a:off x="4048125" y="682136"/>
            <a:ext cx="392723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cxnSp macro="">
        <xdr:nvCxnSpPr>
          <xdr:cNvPr id="583" name="582 Conector recto">
            <a:extLst>
              <a:ext uri="{FF2B5EF4-FFF2-40B4-BE49-F238E27FC236}">
                <a16:creationId xmlns:a16="http://schemas.microsoft.com/office/drawing/2014/main" id="{C162A65B-9348-4334-B846-C498F3AF2684}"/>
              </a:ext>
            </a:extLst>
          </xdr:cNvPr>
          <xdr:cNvCxnSpPr/>
        </xdr:nvCxnSpPr>
        <xdr:spPr>
          <a:xfrm rot="5400000" flipH="1" flipV="1">
            <a:off x="4007012" y="712002"/>
            <a:ext cx="69058" cy="0"/>
          </a:xfrm>
          <a:prstGeom prst="line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84" name="583 Conector recto">
            <a:extLst>
              <a:ext uri="{FF2B5EF4-FFF2-40B4-BE49-F238E27FC236}">
                <a16:creationId xmlns:a16="http://schemas.microsoft.com/office/drawing/2014/main" id="{F5F4A75D-0522-53A0-ABB7-375242877051}"/>
              </a:ext>
            </a:extLst>
          </xdr:cNvPr>
          <xdr:cNvCxnSpPr/>
        </xdr:nvCxnSpPr>
        <xdr:spPr>
          <a:xfrm rot="5400000" flipH="1" flipV="1">
            <a:off x="4407891" y="712002"/>
            <a:ext cx="69058" cy="0"/>
          </a:xfrm>
          <a:prstGeom prst="line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</xdr:col>
      <xdr:colOff>95250</xdr:colOff>
      <xdr:row>145</xdr:row>
      <xdr:rowOff>76200</xdr:rowOff>
    </xdr:from>
    <xdr:to>
      <xdr:col>2</xdr:col>
      <xdr:colOff>495300</xdr:colOff>
      <xdr:row>145</xdr:row>
      <xdr:rowOff>142875</xdr:rowOff>
    </xdr:to>
    <xdr:grpSp>
      <xdr:nvGrpSpPr>
        <xdr:cNvPr id="149732" name="342 Grupo">
          <a:extLst>
            <a:ext uri="{FF2B5EF4-FFF2-40B4-BE49-F238E27FC236}">
              <a16:creationId xmlns:a16="http://schemas.microsoft.com/office/drawing/2014/main" id="{D5F9755C-5FBE-2C99-0428-D66784EED989}"/>
            </a:ext>
          </a:extLst>
        </xdr:cNvPr>
        <xdr:cNvGrpSpPr>
          <a:grpSpLocks/>
        </xdr:cNvGrpSpPr>
      </xdr:nvGrpSpPr>
      <xdr:grpSpPr bwMode="auto">
        <a:xfrm>
          <a:off x="4962525" y="29327475"/>
          <a:ext cx="400050" cy="66675"/>
          <a:chOff x="4041542" y="677472"/>
          <a:chExt cx="400879" cy="69058"/>
        </a:xfrm>
      </xdr:grpSpPr>
      <xdr:sp macro="" textlink="">
        <xdr:nvSpPr>
          <xdr:cNvPr id="149836" name="Line 46">
            <a:extLst>
              <a:ext uri="{FF2B5EF4-FFF2-40B4-BE49-F238E27FC236}">
                <a16:creationId xmlns:a16="http://schemas.microsoft.com/office/drawing/2014/main" id="{8E4D91A3-A81A-6410-5204-692AB02DD3C6}"/>
              </a:ext>
            </a:extLst>
          </xdr:cNvPr>
          <xdr:cNvSpPr>
            <a:spLocks noChangeShapeType="1"/>
          </xdr:cNvSpPr>
        </xdr:nvSpPr>
        <xdr:spPr bwMode="auto">
          <a:xfrm>
            <a:off x="4048125" y="682136"/>
            <a:ext cx="392723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cxnSp macro="">
        <xdr:nvCxnSpPr>
          <xdr:cNvPr id="587" name="586 Conector recto">
            <a:extLst>
              <a:ext uri="{FF2B5EF4-FFF2-40B4-BE49-F238E27FC236}">
                <a16:creationId xmlns:a16="http://schemas.microsoft.com/office/drawing/2014/main" id="{646B864F-77FC-7F29-B32C-5A6076DEA5D5}"/>
              </a:ext>
            </a:extLst>
          </xdr:cNvPr>
          <xdr:cNvCxnSpPr/>
        </xdr:nvCxnSpPr>
        <xdr:spPr>
          <a:xfrm rot="5400000" flipH="1" flipV="1">
            <a:off x="4007012" y="712002"/>
            <a:ext cx="69058" cy="0"/>
          </a:xfrm>
          <a:prstGeom prst="line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88" name="587 Conector recto">
            <a:extLst>
              <a:ext uri="{FF2B5EF4-FFF2-40B4-BE49-F238E27FC236}">
                <a16:creationId xmlns:a16="http://schemas.microsoft.com/office/drawing/2014/main" id="{4BFBF5DB-EBAF-3235-606B-206AA687EC82}"/>
              </a:ext>
            </a:extLst>
          </xdr:cNvPr>
          <xdr:cNvCxnSpPr/>
        </xdr:nvCxnSpPr>
        <xdr:spPr>
          <a:xfrm rot="5400000" flipH="1" flipV="1">
            <a:off x="4407891" y="712002"/>
            <a:ext cx="69058" cy="0"/>
          </a:xfrm>
          <a:prstGeom prst="line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</xdr:col>
      <xdr:colOff>95250</xdr:colOff>
      <xdr:row>149</xdr:row>
      <xdr:rowOff>76200</xdr:rowOff>
    </xdr:from>
    <xdr:to>
      <xdr:col>2</xdr:col>
      <xdr:colOff>495300</xdr:colOff>
      <xdr:row>149</xdr:row>
      <xdr:rowOff>142875</xdr:rowOff>
    </xdr:to>
    <xdr:grpSp>
      <xdr:nvGrpSpPr>
        <xdr:cNvPr id="149733" name="346 Grupo">
          <a:extLst>
            <a:ext uri="{FF2B5EF4-FFF2-40B4-BE49-F238E27FC236}">
              <a16:creationId xmlns:a16="http://schemas.microsoft.com/office/drawing/2014/main" id="{DC7AFBA1-3D2D-790F-D47F-06CFAEAC1F93}"/>
            </a:ext>
          </a:extLst>
        </xdr:cNvPr>
        <xdr:cNvGrpSpPr>
          <a:grpSpLocks/>
        </xdr:cNvGrpSpPr>
      </xdr:nvGrpSpPr>
      <xdr:grpSpPr bwMode="auto">
        <a:xfrm>
          <a:off x="4962525" y="30127575"/>
          <a:ext cx="400050" cy="66675"/>
          <a:chOff x="4041542" y="677472"/>
          <a:chExt cx="400879" cy="69058"/>
        </a:xfrm>
      </xdr:grpSpPr>
      <xdr:sp macro="" textlink="">
        <xdr:nvSpPr>
          <xdr:cNvPr id="149833" name="Line 46">
            <a:extLst>
              <a:ext uri="{FF2B5EF4-FFF2-40B4-BE49-F238E27FC236}">
                <a16:creationId xmlns:a16="http://schemas.microsoft.com/office/drawing/2014/main" id="{5611D997-D131-73A7-6314-4CA8D86E6B94}"/>
              </a:ext>
            </a:extLst>
          </xdr:cNvPr>
          <xdr:cNvSpPr>
            <a:spLocks noChangeShapeType="1"/>
          </xdr:cNvSpPr>
        </xdr:nvSpPr>
        <xdr:spPr bwMode="auto">
          <a:xfrm>
            <a:off x="4048125" y="682136"/>
            <a:ext cx="392723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cxnSp macro="">
        <xdr:nvCxnSpPr>
          <xdr:cNvPr id="591" name="590 Conector recto">
            <a:extLst>
              <a:ext uri="{FF2B5EF4-FFF2-40B4-BE49-F238E27FC236}">
                <a16:creationId xmlns:a16="http://schemas.microsoft.com/office/drawing/2014/main" id="{E7832937-7028-B343-AA59-974D41AD0710}"/>
              </a:ext>
            </a:extLst>
          </xdr:cNvPr>
          <xdr:cNvCxnSpPr/>
        </xdr:nvCxnSpPr>
        <xdr:spPr>
          <a:xfrm rot="5400000" flipH="1" flipV="1">
            <a:off x="4007012" y="712002"/>
            <a:ext cx="69058" cy="0"/>
          </a:xfrm>
          <a:prstGeom prst="line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92" name="591 Conector recto">
            <a:extLst>
              <a:ext uri="{FF2B5EF4-FFF2-40B4-BE49-F238E27FC236}">
                <a16:creationId xmlns:a16="http://schemas.microsoft.com/office/drawing/2014/main" id="{EE058CE7-6BD7-42BB-A59B-9D3ED7B6D2DE}"/>
              </a:ext>
            </a:extLst>
          </xdr:cNvPr>
          <xdr:cNvCxnSpPr/>
        </xdr:nvCxnSpPr>
        <xdr:spPr>
          <a:xfrm rot="5400000" flipH="1" flipV="1">
            <a:off x="4407891" y="712002"/>
            <a:ext cx="69058" cy="0"/>
          </a:xfrm>
          <a:prstGeom prst="line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</xdr:col>
      <xdr:colOff>95250</xdr:colOff>
      <xdr:row>150</xdr:row>
      <xdr:rowOff>76200</xdr:rowOff>
    </xdr:from>
    <xdr:to>
      <xdr:col>2</xdr:col>
      <xdr:colOff>495300</xdr:colOff>
      <xdr:row>150</xdr:row>
      <xdr:rowOff>142875</xdr:rowOff>
    </xdr:to>
    <xdr:grpSp>
      <xdr:nvGrpSpPr>
        <xdr:cNvPr id="149734" name="346 Grupo">
          <a:extLst>
            <a:ext uri="{FF2B5EF4-FFF2-40B4-BE49-F238E27FC236}">
              <a16:creationId xmlns:a16="http://schemas.microsoft.com/office/drawing/2014/main" id="{280EACDE-DF7D-4BB4-6A8C-8B53AAC39DA6}"/>
            </a:ext>
          </a:extLst>
        </xdr:cNvPr>
        <xdr:cNvGrpSpPr>
          <a:grpSpLocks/>
        </xdr:cNvGrpSpPr>
      </xdr:nvGrpSpPr>
      <xdr:grpSpPr bwMode="auto">
        <a:xfrm>
          <a:off x="4962525" y="30327600"/>
          <a:ext cx="400050" cy="66675"/>
          <a:chOff x="4041542" y="677472"/>
          <a:chExt cx="400879" cy="69058"/>
        </a:xfrm>
      </xdr:grpSpPr>
      <xdr:sp macro="" textlink="">
        <xdr:nvSpPr>
          <xdr:cNvPr id="149830" name="Line 46">
            <a:extLst>
              <a:ext uri="{FF2B5EF4-FFF2-40B4-BE49-F238E27FC236}">
                <a16:creationId xmlns:a16="http://schemas.microsoft.com/office/drawing/2014/main" id="{0430B7B3-2680-A541-4D9C-E65DFC85DF97}"/>
              </a:ext>
            </a:extLst>
          </xdr:cNvPr>
          <xdr:cNvSpPr>
            <a:spLocks noChangeShapeType="1"/>
          </xdr:cNvSpPr>
        </xdr:nvSpPr>
        <xdr:spPr bwMode="auto">
          <a:xfrm>
            <a:off x="4048125" y="682136"/>
            <a:ext cx="392723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cxnSp macro="">
        <xdr:nvCxnSpPr>
          <xdr:cNvPr id="595" name="594 Conector recto">
            <a:extLst>
              <a:ext uri="{FF2B5EF4-FFF2-40B4-BE49-F238E27FC236}">
                <a16:creationId xmlns:a16="http://schemas.microsoft.com/office/drawing/2014/main" id="{7BF8DAB3-ED2E-7AB0-499D-E17F918B1A8E}"/>
              </a:ext>
            </a:extLst>
          </xdr:cNvPr>
          <xdr:cNvCxnSpPr/>
        </xdr:nvCxnSpPr>
        <xdr:spPr>
          <a:xfrm rot="5400000" flipH="1" flipV="1">
            <a:off x="4007012" y="712002"/>
            <a:ext cx="69058" cy="0"/>
          </a:xfrm>
          <a:prstGeom prst="line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96" name="595 Conector recto">
            <a:extLst>
              <a:ext uri="{FF2B5EF4-FFF2-40B4-BE49-F238E27FC236}">
                <a16:creationId xmlns:a16="http://schemas.microsoft.com/office/drawing/2014/main" id="{075951C0-634E-E772-EDC1-01F43FC72F7E}"/>
              </a:ext>
            </a:extLst>
          </xdr:cNvPr>
          <xdr:cNvCxnSpPr/>
        </xdr:nvCxnSpPr>
        <xdr:spPr>
          <a:xfrm rot="5400000" flipH="1" flipV="1">
            <a:off x="4407891" y="712002"/>
            <a:ext cx="69058" cy="0"/>
          </a:xfrm>
          <a:prstGeom prst="line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</xdr:col>
      <xdr:colOff>95250</xdr:colOff>
      <xdr:row>152</xdr:row>
      <xdr:rowOff>76200</xdr:rowOff>
    </xdr:from>
    <xdr:to>
      <xdr:col>2</xdr:col>
      <xdr:colOff>495300</xdr:colOff>
      <xdr:row>152</xdr:row>
      <xdr:rowOff>142875</xdr:rowOff>
    </xdr:to>
    <xdr:grpSp>
      <xdr:nvGrpSpPr>
        <xdr:cNvPr id="149735" name="342 Grupo">
          <a:extLst>
            <a:ext uri="{FF2B5EF4-FFF2-40B4-BE49-F238E27FC236}">
              <a16:creationId xmlns:a16="http://schemas.microsoft.com/office/drawing/2014/main" id="{CC1147F7-3680-2C1A-61E9-14A8F4232BA0}"/>
            </a:ext>
          </a:extLst>
        </xdr:cNvPr>
        <xdr:cNvGrpSpPr>
          <a:grpSpLocks/>
        </xdr:cNvGrpSpPr>
      </xdr:nvGrpSpPr>
      <xdr:grpSpPr bwMode="auto">
        <a:xfrm>
          <a:off x="4962525" y="30727650"/>
          <a:ext cx="400050" cy="66675"/>
          <a:chOff x="4041542" y="677472"/>
          <a:chExt cx="400879" cy="69058"/>
        </a:xfrm>
      </xdr:grpSpPr>
      <xdr:sp macro="" textlink="">
        <xdr:nvSpPr>
          <xdr:cNvPr id="149827" name="Line 46">
            <a:extLst>
              <a:ext uri="{FF2B5EF4-FFF2-40B4-BE49-F238E27FC236}">
                <a16:creationId xmlns:a16="http://schemas.microsoft.com/office/drawing/2014/main" id="{D65459B4-177E-5EF8-5AD1-125D0E2FC186}"/>
              </a:ext>
            </a:extLst>
          </xdr:cNvPr>
          <xdr:cNvSpPr>
            <a:spLocks noChangeShapeType="1"/>
          </xdr:cNvSpPr>
        </xdr:nvSpPr>
        <xdr:spPr bwMode="auto">
          <a:xfrm>
            <a:off x="4048125" y="682136"/>
            <a:ext cx="392723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cxnSp macro="">
        <xdr:nvCxnSpPr>
          <xdr:cNvPr id="599" name="598 Conector recto">
            <a:extLst>
              <a:ext uri="{FF2B5EF4-FFF2-40B4-BE49-F238E27FC236}">
                <a16:creationId xmlns:a16="http://schemas.microsoft.com/office/drawing/2014/main" id="{1F343601-1B6D-F4B5-0D00-100F5B92AAF8}"/>
              </a:ext>
            </a:extLst>
          </xdr:cNvPr>
          <xdr:cNvCxnSpPr/>
        </xdr:nvCxnSpPr>
        <xdr:spPr>
          <a:xfrm rot="5400000" flipH="1" flipV="1">
            <a:off x="4007012" y="712002"/>
            <a:ext cx="69058" cy="0"/>
          </a:xfrm>
          <a:prstGeom prst="line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00" name="599 Conector recto">
            <a:extLst>
              <a:ext uri="{FF2B5EF4-FFF2-40B4-BE49-F238E27FC236}">
                <a16:creationId xmlns:a16="http://schemas.microsoft.com/office/drawing/2014/main" id="{975E11BE-4D3A-A2D7-6CDA-5ABA2895984D}"/>
              </a:ext>
            </a:extLst>
          </xdr:cNvPr>
          <xdr:cNvCxnSpPr/>
        </xdr:nvCxnSpPr>
        <xdr:spPr>
          <a:xfrm rot="5400000" flipH="1" flipV="1">
            <a:off x="4407891" y="712002"/>
            <a:ext cx="69058" cy="0"/>
          </a:xfrm>
          <a:prstGeom prst="line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</xdr:col>
      <xdr:colOff>95250</xdr:colOff>
      <xdr:row>153</xdr:row>
      <xdr:rowOff>76200</xdr:rowOff>
    </xdr:from>
    <xdr:to>
      <xdr:col>2</xdr:col>
      <xdr:colOff>495300</xdr:colOff>
      <xdr:row>153</xdr:row>
      <xdr:rowOff>142875</xdr:rowOff>
    </xdr:to>
    <xdr:grpSp>
      <xdr:nvGrpSpPr>
        <xdr:cNvPr id="149736" name="346 Grupo">
          <a:extLst>
            <a:ext uri="{FF2B5EF4-FFF2-40B4-BE49-F238E27FC236}">
              <a16:creationId xmlns:a16="http://schemas.microsoft.com/office/drawing/2014/main" id="{C5F771B9-E904-3ABD-85A2-F28C08ED8699}"/>
            </a:ext>
          </a:extLst>
        </xdr:cNvPr>
        <xdr:cNvGrpSpPr>
          <a:grpSpLocks/>
        </xdr:cNvGrpSpPr>
      </xdr:nvGrpSpPr>
      <xdr:grpSpPr bwMode="auto">
        <a:xfrm>
          <a:off x="4962525" y="30927675"/>
          <a:ext cx="400050" cy="66675"/>
          <a:chOff x="4041542" y="677472"/>
          <a:chExt cx="400879" cy="69058"/>
        </a:xfrm>
      </xdr:grpSpPr>
      <xdr:sp macro="" textlink="">
        <xdr:nvSpPr>
          <xdr:cNvPr id="149824" name="Line 46">
            <a:extLst>
              <a:ext uri="{FF2B5EF4-FFF2-40B4-BE49-F238E27FC236}">
                <a16:creationId xmlns:a16="http://schemas.microsoft.com/office/drawing/2014/main" id="{8D7DD2FA-5612-643F-F73D-31CECAF7E4A2}"/>
              </a:ext>
            </a:extLst>
          </xdr:cNvPr>
          <xdr:cNvSpPr>
            <a:spLocks noChangeShapeType="1"/>
          </xdr:cNvSpPr>
        </xdr:nvSpPr>
        <xdr:spPr bwMode="auto">
          <a:xfrm>
            <a:off x="4048125" y="682136"/>
            <a:ext cx="392723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cxnSp macro="">
        <xdr:nvCxnSpPr>
          <xdr:cNvPr id="603" name="602 Conector recto">
            <a:extLst>
              <a:ext uri="{FF2B5EF4-FFF2-40B4-BE49-F238E27FC236}">
                <a16:creationId xmlns:a16="http://schemas.microsoft.com/office/drawing/2014/main" id="{1ABBCC36-265A-F68A-9B3D-43622C686628}"/>
              </a:ext>
            </a:extLst>
          </xdr:cNvPr>
          <xdr:cNvCxnSpPr/>
        </xdr:nvCxnSpPr>
        <xdr:spPr>
          <a:xfrm rot="5400000" flipH="1" flipV="1">
            <a:off x="4007012" y="712002"/>
            <a:ext cx="69058" cy="0"/>
          </a:xfrm>
          <a:prstGeom prst="line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04" name="603 Conector recto">
            <a:extLst>
              <a:ext uri="{FF2B5EF4-FFF2-40B4-BE49-F238E27FC236}">
                <a16:creationId xmlns:a16="http://schemas.microsoft.com/office/drawing/2014/main" id="{BBA4C912-7EBB-E447-8A69-798C248A9C82}"/>
              </a:ext>
            </a:extLst>
          </xdr:cNvPr>
          <xdr:cNvCxnSpPr/>
        </xdr:nvCxnSpPr>
        <xdr:spPr>
          <a:xfrm rot="5400000" flipH="1" flipV="1">
            <a:off x="4407891" y="712002"/>
            <a:ext cx="69058" cy="0"/>
          </a:xfrm>
          <a:prstGeom prst="line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</xdr:col>
      <xdr:colOff>95250</xdr:colOff>
      <xdr:row>160</xdr:row>
      <xdr:rowOff>76200</xdr:rowOff>
    </xdr:from>
    <xdr:to>
      <xdr:col>2</xdr:col>
      <xdr:colOff>495300</xdr:colOff>
      <xdr:row>160</xdr:row>
      <xdr:rowOff>142875</xdr:rowOff>
    </xdr:to>
    <xdr:grpSp>
      <xdr:nvGrpSpPr>
        <xdr:cNvPr id="149737" name="342 Grupo">
          <a:extLst>
            <a:ext uri="{FF2B5EF4-FFF2-40B4-BE49-F238E27FC236}">
              <a16:creationId xmlns:a16="http://schemas.microsoft.com/office/drawing/2014/main" id="{9B11A729-CA9A-003C-9DF1-42A479B6CF76}"/>
            </a:ext>
          </a:extLst>
        </xdr:cNvPr>
        <xdr:cNvGrpSpPr>
          <a:grpSpLocks/>
        </xdr:cNvGrpSpPr>
      </xdr:nvGrpSpPr>
      <xdr:grpSpPr bwMode="auto">
        <a:xfrm>
          <a:off x="4962525" y="32327850"/>
          <a:ext cx="400050" cy="66675"/>
          <a:chOff x="4041542" y="677472"/>
          <a:chExt cx="400879" cy="69058"/>
        </a:xfrm>
      </xdr:grpSpPr>
      <xdr:sp macro="" textlink="">
        <xdr:nvSpPr>
          <xdr:cNvPr id="149821" name="Line 46">
            <a:extLst>
              <a:ext uri="{FF2B5EF4-FFF2-40B4-BE49-F238E27FC236}">
                <a16:creationId xmlns:a16="http://schemas.microsoft.com/office/drawing/2014/main" id="{3C2EF94A-3452-B2AA-FC75-DF50F4F47C83}"/>
              </a:ext>
            </a:extLst>
          </xdr:cNvPr>
          <xdr:cNvSpPr>
            <a:spLocks noChangeShapeType="1"/>
          </xdr:cNvSpPr>
        </xdr:nvSpPr>
        <xdr:spPr bwMode="auto">
          <a:xfrm>
            <a:off x="4048125" y="682136"/>
            <a:ext cx="392723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cxnSp macro="">
        <xdr:nvCxnSpPr>
          <xdr:cNvPr id="623" name="622 Conector recto">
            <a:extLst>
              <a:ext uri="{FF2B5EF4-FFF2-40B4-BE49-F238E27FC236}">
                <a16:creationId xmlns:a16="http://schemas.microsoft.com/office/drawing/2014/main" id="{D5C049EC-CB8C-3338-F8EF-F7AA060C222B}"/>
              </a:ext>
            </a:extLst>
          </xdr:cNvPr>
          <xdr:cNvCxnSpPr/>
        </xdr:nvCxnSpPr>
        <xdr:spPr>
          <a:xfrm rot="5400000" flipH="1" flipV="1">
            <a:off x="4007012" y="712002"/>
            <a:ext cx="69058" cy="0"/>
          </a:xfrm>
          <a:prstGeom prst="line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24" name="623 Conector recto">
            <a:extLst>
              <a:ext uri="{FF2B5EF4-FFF2-40B4-BE49-F238E27FC236}">
                <a16:creationId xmlns:a16="http://schemas.microsoft.com/office/drawing/2014/main" id="{E606BB88-6C6C-92C5-03F1-28CAF002E221}"/>
              </a:ext>
            </a:extLst>
          </xdr:cNvPr>
          <xdr:cNvCxnSpPr/>
        </xdr:nvCxnSpPr>
        <xdr:spPr>
          <a:xfrm rot="5400000" flipH="1" flipV="1">
            <a:off x="4407891" y="712002"/>
            <a:ext cx="69058" cy="0"/>
          </a:xfrm>
          <a:prstGeom prst="line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</xdr:col>
      <xdr:colOff>95250</xdr:colOff>
      <xdr:row>11</xdr:row>
      <xdr:rowOff>47625</xdr:rowOff>
    </xdr:from>
    <xdr:to>
      <xdr:col>2</xdr:col>
      <xdr:colOff>466725</xdr:colOff>
      <xdr:row>11</xdr:row>
      <xdr:rowOff>152400</xdr:rowOff>
    </xdr:to>
    <xdr:grpSp>
      <xdr:nvGrpSpPr>
        <xdr:cNvPr id="149738" name="85 Grupo">
          <a:extLst>
            <a:ext uri="{FF2B5EF4-FFF2-40B4-BE49-F238E27FC236}">
              <a16:creationId xmlns:a16="http://schemas.microsoft.com/office/drawing/2014/main" id="{2C244B1A-FF01-AE23-33D2-1F68D719758F}"/>
            </a:ext>
          </a:extLst>
        </xdr:cNvPr>
        <xdr:cNvGrpSpPr>
          <a:grpSpLocks/>
        </xdr:cNvGrpSpPr>
      </xdr:nvGrpSpPr>
      <xdr:grpSpPr bwMode="auto">
        <a:xfrm>
          <a:off x="4962525" y="2495550"/>
          <a:ext cx="371475" cy="104775"/>
          <a:chOff x="8447314" y="557404"/>
          <a:chExt cx="2286006" cy="710782"/>
        </a:xfrm>
      </xdr:grpSpPr>
      <xdr:cxnSp macro="">
        <xdr:nvCxnSpPr>
          <xdr:cNvPr id="405" name="404 Conector recto">
            <a:extLst>
              <a:ext uri="{FF2B5EF4-FFF2-40B4-BE49-F238E27FC236}">
                <a16:creationId xmlns:a16="http://schemas.microsoft.com/office/drawing/2014/main" id="{7B135003-223D-B9C1-B1CE-5AAD34B8FE33}"/>
              </a:ext>
            </a:extLst>
          </xdr:cNvPr>
          <xdr:cNvCxnSpPr/>
        </xdr:nvCxnSpPr>
        <xdr:spPr>
          <a:xfrm>
            <a:off x="8447314" y="686637"/>
            <a:ext cx="410309" cy="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408" name="407 Conector recto">
            <a:extLst>
              <a:ext uri="{FF2B5EF4-FFF2-40B4-BE49-F238E27FC236}">
                <a16:creationId xmlns:a16="http://schemas.microsoft.com/office/drawing/2014/main" id="{23F86D2B-0A4B-694A-90CF-9E42315B01AD}"/>
              </a:ext>
            </a:extLst>
          </xdr:cNvPr>
          <xdr:cNvCxnSpPr/>
        </xdr:nvCxnSpPr>
        <xdr:spPr>
          <a:xfrm>
            <a:off x="8857623" y="686637"/>
            <a:ext cx="644771" cy="581549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409" name="408 Conector recto">
            <a:extLst>
              <a:ext uri="{FF2B5EF4-FFF2-40B4-BE49-F238E27FC236}">
                <a16:creationId xmlns:a16="http://schemas.microsoft.com/office/drawing/2014/main" id="{A543CDBD-A00F-A4FE-FC0C-62DA7494BAED}"/>
              </a:ext>
            </a:extLst>
          </xdr:cNvPr>
          <xdr:cNvCxnSpPr/>
        </xdr:nvCxnSpPr>
        <xdr:spPr>
          <a:xfrm flipV="1">
            <a:off x="9502394" y="1268186"/>
            <a:ext cx="1230926" cy="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410" name="409 Conector recto">
            <a:extLst>
              <a:ext uri="{FF2B5EF4-FFF2-40B4-BE49-F238E27FC236}">
                <a16:creationId xmlns:a16="http://schemas.microsoft.com/office/drawing/2014/main" id="{2524B32A-9288-037B-365F-F14679DC395A}"/>
              </a:ext>
            </a:extLst>
          </xdr:cNvPr>
          <xdr:cNvCxnSpPr/>
        </xdr:nvCxnSpPr>
        <xdr:spPr>
          <a:xfrm flipV="1">
            <a:off x="10733320" y="557404"/>
            <a:ext cx="0" cy="710782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2</xdr:col>
      <xdr:colOff>154781</xdr:colOff>
      <xdr:row>15</xdr:row>
      <xdr:rowOff>104775</xdr:rowOff>
    </xdr:from>
    <xdr:to>
      <xdr:col>2</xdr:col>
      <xdr:colOff>504825</xdr:colOff>
      <xdr:row>15</xdr:row>
      <xdr:rowOff>104775</xdr:rowOff>
    </xdr:to>
    <xdr:cxnSp macro="">
      <xdr:nvCxnSpPr>
        <xdr:cNvPr id="430" name="429 Conector recto">
          <a:extLst>
            <a:ext uri="{FF2B5EF4-FFF2-40B4-BE49-F238E27FC236}">
              <a16:creationId xmlns:a16="http://schemas.microsoft.com/office/drawing/2014/main" id="{CF17C4B0-BF3F-91DD-A2FE-8ADA8F95AAE3}"/>
            </a:ext>
          </a:extLst>
        </xdr:cNvPr>
        <xdr:cNvCxnSpPr/>
      </xdr:nvCxnSpPr>
      <xdr:spPr>
        <a:xfrm>
          <a:off x="4393406" y="3905250"/>
          <a:ext cx="350044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154781</xdr:colOff>
      <xdr:row>16</xdr:row>
      <xdr:rowOff>104775</xdr:rowOff>
    </xdr:from>
    <xdr:to>
      <xdr:col>2</xdr:col>
      <xdr:colOff>504825</xdr:colOff>
      <xdr:row>16</xdr:row>
      <xdr:rowOff>104775</xdr:rowOff>
    </xdr:to>
    <xdr:cxnSp macro="">
      <xdr:nvCxnSpPr>
        <xdr:cNvPr id="431" name="430 Conector recto">
          <a:extLst>
            <a:ext uri="{FF2B5EF4-FFF2-40B4-BE49-F238E27FC236}">
              <a16:creationId xmlns:a16="http://schemas.microsoft.com/office/drawing/2014/main" id="{274C457F-C2FE-A3C5-BF86-2C652297C0A6}"/>
            </a:ext>
          </a:extLst>
        </xdr:cNvPr>
        <xdr:cNvCxnSpPr/>
      </xdr:nvCxnSpPr>
      <xdr:spPr>
        <a:xfrm>
          <a:off x="4393406" y="4105275"/>
          <a:ext cx="350044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154781</xdr:colOff>
      <xdr:row>17</xdr:row>
      <xdr:rowOff>104775</xdr:rowOff>
    </xdr:from>
    <xdr:to>
      <xdr:col>2</xdr:col>
      <xdr:colOff>504825</xdr:colOff>
      <xdr:row>17</xdr:row>
      <xdr:rowOff>104775</xdr:rowOff>
    </xdr:to>
    <xdr:cxnSp macro="">
      <xdr:nvCxnSpPr>
        <xdr:cNvPr id="432" name="431 Conector recto">
          <a:extLst>
            <a:ext uri="{FF2B5EF4-FFF2-40B4-BE49-F238E27FC236}">
              <a16:creationId xmlns:a16="http://schemas.microsoft.com/office/drawing/2014/main" id="{D957BB35-3517-E504-EA6F-0CAF2AEBFE87}"/>
            </a:ext>
          </a:extLst>
        </xdr:cNvPr>
        <xdr:cNvCxnSpPr/>
      </xdr:nvCxnSpPr>
      <xdr:spPr>
        <a:xfrm>
          <a:off x="4393406" y="4305300"/>
          <a:ext cx="350044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154781</xdr:colOff>
      <xdr:row>18</xdr:row>
      <xdr:rowOff>104775</xdr:rowOff>
    </xdr:from>
    <xdr:to>
      <xdr:col>2</xdr:col>
      <xdr:colOff>504825</xdr:colOff>
      <xdr:row>18</xdr:row>
      <xdr:rowOff>104775</xdr:rowOff>
    </xdr:to>
    <xdr:cxnSp macro="">
      <xdr:nvCxnSpPr>
        <xdr:cNvPr id="433" name="432 Conector recto">
          <a:extLst>
            <a:ext uri="{FF2B5EF4-FFF2-40B4-BE49-F238E27FC236}">
              <a16:creationId xmlns:a16="http://schemas.microsoft.com/office/drawing/2014/main" id="{1F4623F9-C5C5-4E34-4881-D3B3046DDE02}"/>
            </a:ext>
          </a:extLst>
        </xdr:cNvPr>
        <xdr:cNvCxnSpPr/>
      </xdr:nvCxnSpPr>
      <xdr:spPr>
        <a:xfrm>
          <a:off x="4393406" y="4505325"/>
          <a:ext cx="350044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154781</xdr:colOff>
      <xdr:row>19</xdr:row>
      <xdr:rowOff>104775</xdr:rowOff>
    </xdr:from>
    <xdr:to>
      <xdr:col>2</xdr:col>
      <xdr:colOff>504825</xdr:colOff>
      <xdr:row>19</xdr:row>
      <xdr:rowOff>104775</xdr:rowOff>
    </xdr:to>
    <xdr:cxnSp macro="">
      <xdr:nvCxnSpPr>
        <xdr:cNvPr id="434" name="433 Conector recto">
          <a:extLst>
            <a:ext uri="{FF2B5EF4-FFF2-40B4-BE49-F238E27FC236}">
              <a16:creationId xmlns:a16="http://schemas.microsoft.com/office/drawing/2014/main" id="{764CF9E0-8D1F-304E-DCF5-8AB8F30CFB7C}"/>
            </a:ext>
          </a:extLst>
        </xdr:cNvPr>
        <xdr:cNvCxnSpPr/>
      </xdr:nvCxnSpPr>
      <xdr:spPr>
        <a:xfrm>
          <a:off x="4393406" y="4705350"/>
          <a:ext cx="350044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154781</xdr:colOff>
      <xdr:row>20</xdr:row>
      <xdr:rowOff>104775</xdr:rowOff>
    </xdr:from>
    <xdr:to>
      <xdr:col>2</xdr:col>
      <xdr:colOff>504825</xdr:colOff>
      <xdr:row>20</xdr:row>
      <xdr:rowOff>104775</xdr:rowOff>
    </xdr:to>
    <xdr:cxnSp macro="">
      <xdr:nvCxnSpPr>
        <xdr:cNvPr id="437" name="436 Conector recto">
          <a:extLst>
            <a:ext uri="{FF2B5EF4-FFF2-40B4-BE49-F238E27FC236}">
              <a16:creationId xmlns:a16="http://schemas.microsoft.com/office/drawing/2014/main" id="{F0BB814D-FFC5-5D7A-5FED-1CDEAE1F207D}"/>
            </a:ext>
          </a:extLst>
        </xdr:cNvPr>
        <xdr:cNvCxnSpPr/>
      </xdr:nvCxnSpPr>
      <xdr:spPr>
        <a:xfrm>
          <a:off x="4393406" y="4905375"/>
          <a:ext cx="350044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154781</xdr:colOff>
      <xdr:row>21</xdr:row>
      <xdr:rowOff>104775</xdr:rowOff>
    </xdr:from>
    <xdr:to>
      <xdr:col>2</xdr:col>
      <xdr:colOff>504825</xdr:colOff>
      <xdr:row>21</xdr:row>
      <xdr:rowOff>104775</xdr:rowOff>
    </xdr:to>
    <xdr:cxnSp macro="">
      <xdr:nvCxnSpPr>
        <xdr:cNvPr id="438" name="437 Conector recto">
          <a:extLst>
            <a:ext uri="{FF2B5EF4-FFF2-40B4-BE49-F238E27FC236}">
              <a16:creationId xmlns:a16="http://schemas.microsoft.com/office/drawing/2014/main" id="{E97B3DF0-EA5E-C708-B92D-813184F97710}"/>
            </a:ext>
          </a:extLst>
        </xdr:cNvPr>
        <xdr:cNvCxnSpPr/>
      </xdr:nvCxnSpPr>
      <xdr:spPr>
        <a:xfrm>
          <a:off x="4393406" y="5105400"/>
          <a:ext cx="350044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95250</xdr:colOff>
      <xdr:row>50</xdr:row>
      <xdr:rowOff>47625</xdr:rowOff>
    </xdr:from>
    <xdr:to>
      <xdr:col>2</xdr:col>
      <xdr:colOff>466725</xdr:colOff>
      <xdr:row>50</xdr:row>
      <xdr:rowOff>152400</xdr:rowOff>
    </xdr:to>
    <xdr:grpSp>
      <xdr:nvGrpSpPr>
        <xdr:cNvPr id="149746" name="85 Grupo">
          <a:extLst>
            <a:ext uri="{FF2B5EF4-FFF2-40B4-BE49-F238E27FC236}">
              <a16:creationId xmlns:a16="http://schemas.microsoft.com/office/drawing/2014/main" id="{0D3838BE-55AB-3E5B-889E-44B540776C1D}"/>
            </a:ext>
          </a:extLst>
        </xdr:cNvPr>
        <xdr:cNvGrpSpPr>
          <a:grpSpLocks/>
        </xdr:cNvGrpSpPr>
      </xdr:nvGrpSpPr>
      <xdr:grpSpPr bwMode="auto">
        <a:xfrm>
          <a:off x="4962525" y="10296525"/>
          <a:ext cx="371475" cy="104775"/>
          <a:chOff x="8447314" y="557404"/>
          <a:chExt cx="2286006" cy="710782"/>
        </a:xfrm>
      </xdr:grpSpPr>
      <xdr:cxnSp macro="">
        <xdr:nvCxnSpPr>
          <xdr:cNvPr id="492" name="491 Conector recto">
            <a:extLst>
              <a:ext uri="{FF2B5EF4-FFF2-40B4-BE49-F238E27FC236}">
                <a16:creationId xmlns:a16="http://schemas.microsoft.com/office/drawing/2014/main" id="{3FC6703D-99A3-DC7F-1904-D3A129BF7490}"/>
              </a:ext>
            </a:extLst>
          </xdr:cNvPr>
          <xdr:cNvCxnSpPr/>
        </xdr:nvCxnSpPr>
        <xdr:spPr>
          <a:xfrm>
            <a:off x="8447314" y="686637"/>
            <a:ext cx="410309" cy="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493" name="492 Conector recto">
            <a:extLst>
              <a:ext uri="{FF2B5EF4-FFF2-40B4-BE49-F238E27FC236}">
                <a16:creationId xmlns:a16="http://schemas.microsoft.com/office/drawing/2014/main" id="{809BEC7F-135B-6C95-3531-93282F634D69}"/>
              </a:ext>
            </a:extLst>
          </xdr:cNvPr>
          <xdr:cNvCxnSpPr/>
        </xdr:nvCxnSpPr>
        <xdr:spPr>
          <a:xfrm>
            <a:off x="8857623" y="686637"/>
            <a:ext cx="644771" cy="581549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496" name="495 Conector recto">
            <a:extLst>
              <a:ext uri="{FF2B5EF4-FFF2-40B4-BE49-F238E27FC236}">
                <a16:creationId xmlns:a16="http://schemas.microsoft.com/office/drawing/2014/main" id="{F437E3BC-6098-757D-4CEC-5504D46FB99E}"/>
              </a:ext>
            </a:extLst>
          </xdr:cNvPr>
          <xdr:cNvCxnSpPr/>
        </xdr:nvCxnSpPr>
        <xdr:spPr>
          <a:xfrm flipV="1">
            <a:off x="9502394" y="1268186"/>
            <a:ext cx="1230926" cy="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497" name="496 Conector recto">
            <a:extLst>
              <a:ext uri="{FF2B5EF4-FFF2-40B4-BE49-F238E27FC236}">
                <a16:creationId xmlns:a16="http://schemas.microsoft.com/office/drawing/2014/main" id="{A5E9EB24-6F62-D596-38F5-7CA720E69D69}"/>
              </a:ext>
            </a:extLst>
          </xdr:cNvPr>
          <xdr:cNvCxnSpPr/>
        </xdr:nvCxnSpPr>
        <xdr:spPr>
          <a:xfrm flipV="1">
            <a:off x="10733320" y="557404"/>
            <a:ext cx="0" cy="710782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2</xdr:col>
      <xdr:colOff>95250</xdr:colOff>
      <xdr:row>53</xdr:row>
      <xdr:rowOff>76200</xdr:rowOff>
    </xdr:from>
    <xdr:to>
      <xdr:col>2</xdr:col>
      <xdr:colOff>495300</xdr:colOff>
      <xdr:row>53</xdr:row>
      <xdr:rowOff>142875</xdr:rowOff>
    </xdr:to>
    <xdr:grpSp>
      <xdr:nvGrpSpPr>
        <xdr:cNvPr id="149747" name="270 Grupo">
          <a:extLst>
            <a:ext uri="{FF2B5EF4-FFF2-40B4-BE49-F238E27FC236}">
              <a16:creationId xmlns:a16="http://schemas.microsoft.com/office/drawing/2014/main" id="{EBCCA0BB-1885-D906-38B4-36AB5675C514}"/>
            </a:ext>
          </a:extLst>
        </xdr:cNvPr>
        <xdr:cNvGrpSpPr>
          <a:grpSpLocks/>
        </xdr:cNvGrpSpPr>
      </xdr:nvGrpSpPr>
      <xdr:grpSpPr bwMode="auto">
        <a:xfrm>
          <a:off x="4962525" y="10925175"/>
          <a:ext cx="400050" cy="66675"/>
          <a:chOff x="4041542" y="677472"/>
          <a:chExt cx="400879" cy="69058"/>
        </a:xfrm>
      </xdr:grpSpPr>
      <xdr:sp macro="" textlink="">
        <xdr:nvSpPr>
          <xdr:cNvPr id="149810" name="Line 46">
            <a:extLst>
              <a:ext uri="{FF2B5EF4-FFF2-40B4-BE49-F238E27FC236}">
                <a16:creationId xmlns:a16="http://schemas.microsoft.com/office/drawing/2014/main" id="{AC07D228-743E-C22F-88F8-2BB7CF49EE0E}"/>
              </a:ext>
            </a:extLst>
          </xdr:cNvPr>
          <xdr:cNvSpPr>
            <a:spLocks noChangeShapeType="1"/>
          </xdr:cNvSpPr>
        </xdr:nvSpPr>
        <xdr:spPr bwMode="auto">
          <a:xfrm>
            <a:off x="4048125" y="682136"/>
            <a:ext cx="392723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cxnSp macro="">
        <xdr:nvCxnSpPr>
          <xdr:cNvPr id="504" name="503 Conector recto">
            <a:extLst>
              <a:ext uri="{FF2B5EF4-FFF2-40B4-BE49-F238E27FC236}">
                <a16:creationId xmlns:a16="http://schemas.microsoft.com/office/drawing/2014/main" id="{B570830D-61F0-644E-972D-A3C74A4BBBB4}"/>
              </a:ext>
            </a:extLst>
          </xdr:cNvPr>
          <xdr:cNvCxnSpPr/>
        </xdr:nvCxnSpPr>
        <xdr:spPr>
          <a:xfrm rot="5400000" flipH="1" flipV="1">
            <a:off x="4007012" y="712002"/>
            <a:ext cx="69058" cy="0"/>
          </a:xfrm>
          <a:prstGeom prst="line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05" name="504 Conector recto">
            <a:extLst>
              <a:ext uri="{FF2B5EF4-FFF2-40B4-BE49-F238E27FC236}">
                <a16:creationId xmlns:a16="http://schemas.microsoft.com/office/drawing/2014/main" id="{2FA6C00C-C222-BF62-5DF8-C7BFED3651A8}"/>
              </a:ext>
            </a:extLst>
          </xdr:cNvPr>
          <xdr:cNvCxnSpPr/>
        </xdr:nvCxnSpPr>
        <xdr:spPr>
          <a:xfrm rot="5400000" flipH="1" flipV="1">
            <a:off x="4407891" y="712002"/>
            <a:ext cx="69058" cy="0"/>
          </a:xfrm>
          <a:prstGeom prst="line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</xdr:col>
      <xdr:colOff>95250</xdr:colOff>
      <xdr:row>54</xdr:row>
      <xdr:rowOff>76200</xdr:rowOff>
    </xdr:from>
    <xdr:to>
      <xdr:col>2</xdr:col>
      <xdr:colOff>495300</xdr:colOff>
      <xdr:row>54</xdr:row>
      <xdr:rowOff>142875</xdr:rowOff>
    </xdr:to>
    <xdr:grpSp>
      <xdr:nvGrpSpPr>
        <xdr:cNvPr id="149748" name="270 Grupo">
          <a:extLst>
            <a:ext uri="{FF2B5EF4-FFF2-40B4-BE49-F238E27FC236}">
              <a16:creationId xmlns:a16="http://schemas.microsoft.com/office/drawing/2014/main" id="{1EB1BE68-9C55-CC77-2FD7-62A53A4DBD77}"/>
            </a:ext>
          </a:extLst>
        </xdr:cNvPr>
        <xdr:cNvGrpSpPr>
          <a:grpSpLocks/>
        </xdr:cNvGrpSpPr>
      </xdr:nvGrpSpPr>
      <xdr:grpSpPr bwMode="auto">
        <a:xfrm>
          <a:off x="4962525" y="11125200"/>
          <a:ext cx="400050" cy="66675"/>
          <a:chOff x="4041542" y="677472"/>
          <a:chExt cx="400879" cy="69058"/>
        </a:xfrm>
      </xdr:grpSpPr>
      <xdr:sp macro="" textlink="">
        <xdr:nvSpPr>
          <xdr:cNvPr id="149807" name="Line 46">
            <a:extLst>
              <a:ext uri="{FF2B5EF4-FFF2-40B4-BE49-F238E27FC236}">
                <a16:creationId xmlns:a16="http://schemas.microsoft.com/office/drawing/2014/main" id="{6865E1F4-3C71-B767-095F-F5333C4B4881}"/>
              </a:ext>
            </a:extLst>
          </xdr:cNvPr>
          <xdr:cNvSpPr>
            <a:spLocks noChangeShapeType="1"/>
          </xdr:cNvSpPr>
        </xdr:nvSpPr>
        <xdr:spPr bwMode="auto">
          <a:xfrm>
            <a:off x="4048125" y="682136"/>
            <a:ext cx="392723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cxnSp macro="">
        <xdr:nvCxnSpPr>
          <xdr:cNvPr id="512" name="511 Conector recto">
            <a:extLst>
              <a:ext uri="{FF2B5EF4-FFF2-40B4-BE49-F238E27FC236}">
                <a16:creationId xmlns:a16="http://schemas.microsoft.com/office/drawing/2014/main" id="{CAB58D0E-766B-2EA3-CA6F-FE74F3F56F58}"/>
              </a:ext>
            </a:extLst>
          </xdr:cNvPr>
          <xdr:cNvCxnSpPr/>
        </xdr:nvCxnSpPr>
        <xdr:spPr>
          <a:xfrm rot="5400000" flipH="1" flipV="1">
            <a:off x="4007012" y="712002"/>
            <a:ext cx="69058" cy="0"/>
          </a:xfrm>
          <a:prstGeom prst="line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13" name="512 Conector recto">
            <a:extLst>
              <a:ext uri="{FF2B5EF4-FFF2-40B4-BE49-F238E27FC236}">
                <a16:creationId xmlns:a16="http://schemas.microsoft.com/office/drawing/2014/main" id="{12BDAB4E-64B1-58C7-65BE-5E0FDAF0230E}"/>
              </a:ext>
            </a:extLst>
          </xdr:cNvPr>
          <xdr:cNvCxnSpPr/>
        </xdr:nvCxnSpPr>
        <xdr:spPr>
          <a:xfrm rot="5400000" flipH="1" flipV="1">
            <a:off x="4407891" y="712002"/>
            <a:ext cx="69058" cy="0"/>
          </a:xfrm>
          <a:prstGeom prst="line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</xdr:col>
      <xdr:colOff>154781</xdr:colOff>
      <xdr:row>65</xdr:row>
      <xdr:rowOff>104775</xdr:rowOff>
    </xdr:from>
    <xdr:to>
      <xdr:col>2</xdr:col>
      <xdr:colOff>504825</xdr:colOff>
      <xdr:row>65</xdr:row>
      <xdr:rowOff>104775</xdr:rowOff>
    </xdr:to>
    <xdr:cxnSp macro="">
      <xdr:nvCxnSpPr>
        <xdr:cNvPr id="516" name="515 Conector recto">
          <a:extLst>
            <a:ext uri="{FF2B5EF4-FFF2-40B4-BE49-F238E27FC236}">
              <a16:creationId xmlns:a16="http://schemas.microsoft.com/office/drawing/2014/main" id="{547D2199-2169-07BD-008A-CABBA0936EC4}"/>
            </a:ext>
          </a:extLst>
        </xdr:cNvPr>
        <xdr:cNvCxnSpPr/>
      </xdr:nvCxnSpPr>
      <xdr:spPr>
        <a:xfrm>
          <a:off x="4753995" y="11575596"/>
          <a:ext cx="350044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154781</xdr:colOff>
      <xdr:row>66</xdr:row>
      <xdr:rowOff>104775</xdr:rowOff>
    </xdr:from>
    <xdr:to>
      <xdr:col>2</xdr:col>
      <xdr:colOff>504825</xdr:colOff>
      <xdr:row>66</xdr:row>
      <xdr:rowOff>104775</xdr:rowOff>
    </xdr:to>
    <xdr:cxnSp macro="">
      <xdr:nvCxnSpPr>
        <xdr:cNvPr id="517" name="516 Conector recto">
          <a:extLst>
            <a:ext uri="{FF2B5EF4-FFF2-40B4-BE49-F238E27FC236}">
              <a16:creationId xmlns:a16="http://schemas.microsoft.com/office/drawing/2014/main" id="{01E28F34-7143-D34A-788E-3C67AF7F984E}"/>
            </a:ext>
          </a:extLst>
        </xdr:cNvPr>
        <xdr:cNvCxnSpPr/>
      </xdr:nvCxnSpPr>
      <xdr:spPr>
        <a:xfrm>
          <a:off x="4753995" y="11779704"/>
          <a:ext cx="350044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154781</xdr:colOff>
      <xdr:row>67</xdr:row>
      <xdr:rowOff>104775</xdr:rowOff>
    </xdr:from>
    <xdr:to>
      <xdr:col>2</xdr:col>
      <xdr:colOff>504825</xdr:colOff>
      <xdr:row>67</xdr:row>
      <xdr:rowOff>104775</xdr:rowOff>
    </xdr:to>
    <xdr:cxnSp macro="">
      <xdr:nvCxnSpPr>
        <xdr:cNvPr id="520" name="519 Conector recto">
          <a:extLst>
            <a:ext uri="{FF2B5EF4-FFF2-40B4-BE49-F238E27FC236}">
              <a16:creationId xmlns:a16="http://schemas.microsoft.com/office/drawing/2014/main" id="{09A7B707-DE09-901E-B11D-38CBC6B6EB58}"/>
            </a:ext>
          </a:extLst>
        </xdr:cNvPr>
        <xdr:cNvCxnSpPr/>
      </xdr:nvCxnSpPr>
      <xdr:spPr>
        <a:xfrm>
          <a:off x="4753995" y="11983811"/>
          <a:ext cx="350044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154781</xdr:colOff>
      <xdr:row>68</xdr:row>
      <xdr:rowOff>104775</xdr:rowOff>
    </xdr:from>
    <xdr:to>
      <xdr:col>2</xdr:col>
      <xdr:colOff>504825</xdr:colOff>
      <xdr:row>68</xdr:row>
      <xdr:rowOff>104775</xdr:rowOff>
    </xdr:to>
    <xdr:cxnSp macro="">
      <xdr:nvCxnSpPr>
        <xdr:cNvPr id="521" name="520 Conector recto">
          <a:extLst>
            <a:ext uri="{FF2B5EF4-FFF2-40B4-BE49-F238E27FC236}">
              <a16:creationId xmlns:a16="http://schemas.microsoft.com/office/drawing/2014/main" id="{BAEFDE21-3D05-9421-9FB3-43600DE6830A}"/>
            </a:ext>
          </a:extLst>
        </xdr:cNvPr>
        <xdr:cNvCxnSpPr/>
      </xdr:nvCxnSpPr>
      <xdr:spPr>
        <a:xfrm>
          <a:off x="4753995" y="12187918"/>
          <a:ext cx="350044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161925</xdr:colOff>
      <xdr:row>96</xdr:row>
      <xdr:rowOff>28575</xdr:rowOff>
    </xdr:from>
    <xdr:to>
      <xdr:col>2</xdr:col>
      <xdr:colOff>476250</xdr:colOff>
      <xdr:row>96</xdr:row>
      <xdr:rowOff>104775</xdr:rowOff>
    </xdr:to>
    <xdr:grpSp>
      <xdr:nvGrpSpPr>
        <xdr:cNvPr id="149753" name="300 Grupo">
          <a:extLst>
            <a:ext uri="{FF2B5EF4-FFF2-40B4-BE49-F238E27FC236}">
              <a16:creationId xmlns:a16="http://schemas.microsoft.com/office/drawing/2014/main" id="{50E1CB56-B0A7-3639-A4DB-76CFD1A88537}"/>
            </a:ext>
          </a:extLst>
        </xdr:cNvPr>
        <xdr:cNvGrpSpPr>
          <a:grpSpLocks/>
        </xdr:cNvGrpSpPr>
      </xdr:nvGrpSpPr>
      <xdr:grpSpPr bwMode="auto">
        <a:xfrm>
          <a:off x="5029200" y="19478625"/>
          <a:ext cx="314325" cy="76200"/>
          <a:chOff x="4707729" y="631035"/>
          <a:chExt cx="310753" cy="69055"/>
        </a:xfrm>
      </xdr:grpSpPr>
      <xdr:sp macro="" textlink="">
        <xdr:nvSpPr>
          <xdr:cNvPr id="149805" name="Line 46">
            <a:extLst>
              <a:ext uri="{FF2B5EF4-FFF2-40B4-BE49-F238E27FC236}">
                <a16:creationId xmlns:a16="http://schemas.microsoft.com/office/drawing/2014/main" id="{636A6BEF-C386-102A-D7C1-880B8604B382}"/>
              </a:ext>
            </a:extLst>
          </xdr:cNvPr>
          <xdr:cNvSpPr>
            <a:spLocks noChangeShapeType="1"/>
          </xdr:cNvSpPr>
        </xdr:nvSpPr>
        <xdr:spPr bwMode="auto">
          <a:xfrm>
            <a:off x="4707729" y="697708"/>
            <a:ext cx="304800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cxnSp macro="">
        <xdr:nvCxnSpPr>
          <xdr:cNvPr id="528" name="527 Conector recto">
            <a:extLst>
              <a:ext uri="{FF2B5EF4-FFF2-40B4-BE49-F238E27FC236}">
                <a16:creationId xmlns:a16="http://schemas.microsoft.com/office/drawing/2014/main" id="{95F37335-3DCF-F59D-EFDD-4B386496E011}"/>
              </a:ext>
            </a:extLst>
          </xdr:cNvPr>
          <xdr:cNvCxnSpPr/>
        </xdr:nvCxnSpPr>
        <xdr:spPr>
          <a:xfrm rot="5400000" flipH="1" flipV="1">
            <a:off x="4983955" y="665563"/>
            <a:ext cx="69055" cy="0"/>
          </a:xfrm>
          <a:prstGeom prst="line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</xdr:col>
      <xdr:colOff>95250</xdr:colOff>
      <xdr:row>99</xdr:row>
      <xdr:rowOff>76200</xdr:rowOff>
    </xdr:from>
    <xdr:to>
      <xdr:col>2</xdr:col>
      <xdr:colOff>495300</xdr:colOff>
      <xdr:row>99</xdr:row>
      <xdr:rowOff>142875</xdr:rowOff>
    </xdr:to>
    <xdr:grpSp>
      <xdr:nvGrpSpPr>
        <xdr:cNvPr id="149754" name="270 Grupo">
          <a:extLst>
            <a:ext uri="{FF2B5EF4-FFF2-40B4-BE49-F238E27FC236}">
              <a16:creationId xmlns:a16="http://schemas.microsoft.com/office/drawing/2014/main" id="{0650C086-2D1E-106B-3AB9-D04AA6515763}"/>
            </a:ext>
          </a:extLst>
        </xdr:cNvPr>
        <xdr:cNvGrpSpPr>
          <a:grpSpLocks/>
        </xdr:cNvGrpSpPr>
      </xdr:nvGrpSpPr>
      <xdr:grpSpPr bwMode="auto">
        <a:xfrm>
          <a:off x="4962525" y="20126325"/>
          <a:ext cx="400050" cy="66675"/>
          <a:chOff x="4041542" y="677472"/>
          <a:chExt cx="400879" cy="69058"/>
        </a:xfrm>
      </xdr:grpSpPr>
      <xdr:sp macro="" textlink="">
        <xdr:nvSpPr>
          <xdr:cNvPr id="149802" name="Line 46">
            <a:extLst>
              <a:ext uri="{FF2B5EF4-FFF2-40B4-BE49-F238E27FC236}">
                <a16:creationId xmlns:a16="http://schemas.microsoft.com/office/drawing/2014/main" id="{0870279A-69FC-8550-3F4B-BD3F5E748411}"/>
              </a:ext>
            </a:extLst>
          </xdr:cNvPr>
          <xdr:cNvSpPr>
            <a:spLocks noChangeShapeType="1"/>
          </xdr:cNvSpPr>
        </xdr:nvSpPr>
        <xdr:spPr bwMode="auto">
          <a:xfrm>
            <a:off x="4048125" y="682136"/>
            <a:ext cx="392723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cxnSp macro="">
        <xdr:nvCxnSpPr>
          <xdr:cNvPr id="533" name="532 Conector recto">
            <a:extLst>
              <a:ext uri="{FF2B5EF4-FFF2-40B4-BE49-F238E27FC236}">
                <a16:creationId xmlns:a16="http://schemas.microsoft.com/office/drawing/2014/main" id="{269F7920-F7F3-2F7B-C745-BDCBAF9D850A}"/>
              </a:ext>
            </a:extLst>
          </xdr:cNvPr>
          <xdr:cNvCxnSpPr/>
        </xdr:nvCxnSpPr>
        <xdr:spPr>
          <a:xfrm rot="5400000" flipH="1" flipV="1">
            <a:off x="4007012" y="712002"/>
            <a:ext cx="69058" cy="0"/>
          </a:xfrm>
          <a:prstGeom prst="line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34" name="533 Conector recto">
            <a:extLst>
              <a:ext uri="{FF2B5EF4-FFF2-40B4-BE49-F238E27FC236}">
                <a16:creationId xmlns:a16="http://schemas.microsoft.com/office/drawing/2014/main" id="{3453CCE9-5B41-D282-BA3E-B846B3D2169A}"/>
              </a:ext>
            </a:extLst>
          </xdr:cNvPr>
          <xdr:cNvCxnSpPr/>
        </xdr:nvCxnSpPr>
        <xdr:spPr>
          <a:xfrm rot="5400000" flipH="1" flipV="1">
            <a:off x="4407891" y="712002"/>
            <a:ext cx="69058" cy="0"/>
          </a:xfrm>
          <a:prstGeom prst="line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</xdr:col>
      <xdr:colOff>95250</xdr:colOff>
      <xdr:row>100</xdr:row>
      <xdr:rowOff>76200</xdr:rowOff>
    </xdr:from>
    <xdr:to>
      <xdr:col>2</xdr:col>
      <xdr:colOff>495300</xdr:colOff>
      <xdr:row>100</xdr:row>
      <xdr:rowOff>142875</xdr:rowOff>
    </xdr:to>
    <xdr:grpSp>
      <xdr:nvGrpSpPr>
        <xdr:cNvPr id="149755" name="270 Grupo">
          <a:extLst>
            <a:ext uri="{FF2B5EF4-FFF2-40B4-BE49-F238E27FC236}">
              <a16:creationId xmlns:a16="http://schemas.microsoft.com/office/drawing/2014/main" id="{FCEBA638-BD9C-A423-2860-11B58F10CAE8}"/>
            </a:ext>
          </a:extLst>
        </xdr:cNvPr>
        <xdr:cNvGrpSpPr>
          <a:grpSpLocks/>
        </xdr:cNvGrpSpPr>
      </xdr:nvGrpSpPr>
      <xdr:grpSpPr bwMode="auto">
        <a:xfrm>
          <a:off x="4962525" y="20326350"/>
          <a:ext cx="400050" cy="66675"/>
          <a:chOff x="4041542" y="677472"/>
          <a:chExt cx="400879" cy="69058"/>
        </a:xfrm>
      </xdr:grpSpPr>
      <xdr:sp macro="" textlink="">
        <xdr:nvSpPr>
          <xdr:cNvPr id="149799" name="Line 46">
            <a:extLst>
              <a:ext uri="{FF2B5EF4-FFF2-40B4-BE49-F238E27FC236}">
                <a16:creationId xmlns:a16="http://schemas.microsoft.com/office/drawing/2014/main" id="{FE3AB2F6-011D-E362-51FC-623A18C36FA8}"/>
              </a:ext>
            </a:extLst>
          </xdr:cNvPr>
          <xdr:cNvSpPr>
            <a:spLocks noChangeShapeType="1"/>
          </xdr:cNvSpPr>
        </xdr:nvSpPr>
        <xdr:spPr bwMode="auto">
          <a:xfrm>
            <a:off x="4048125" y="682136"/>
            <a:ext cx="392723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cxnSp macro="">
        <xdr:nvCxnSpPr>
          <xdr:cNvPr id="540" name="539 Conector recto">
            <a:extLst>
              <a:ext uri="{FF2B5EF4-FFF2-40B4-BE49-F238E27FC236}">
                <a16:creationId xmlns:a16="http://schemas.microsoft.com/office/drawing/2014/main" id="{79C35E0E-62AF-8D61-7334-B29F0E7B9BEF}"/>
              </a:ext>
            </a:extLst>
          </xdr:cNvPr>
          <xdr:cNvCxnSpPr/>
        </xdr:nvCxnSpPr>
        <xdr:spPr>
          <a:xfrm rot="5400000" flipH="1" flipV="1">
            <a:off x="4007012" y="712002"/>
            <a:ext cx="69058" cy="0"/>
          </a:xfrm>
          <a:prstGeom prst="line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41" name="540 Conector recto">
            <a:extLst>
              <a:ext uri="{FF2B5EF4-FFF2-40B4-BE49-F238E27FC236}">
                <a16:creationId xmlns:a16="http://schemas.microsoft.com/office/drawing/2014/main" id="{565F6EEA-EDE3-6298-96DB-11F5D38449BC}"/>
              </a:ext>
            </a:extLst>
          </xdr:cNvPr>
          <xdr:cNvCxnSpPr/>
        </xdr:nvCxnSpPr>
        <xdr:spPr>
          <a:xfrm rot="5400000" flipH="1" flipV="1">
            <a:off x="4407891" y="712002"/>
            <a:ext cx="69058" cy="0"/>
          </a:xfrm>
          <a:prstGeom prst="line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</xdr:col>
      <xdr:colOff>154781</xdr:colOff>
      <xdr:row>101</xdr:row>
      <xdr:rowOff>104775</xdr:rowOff>
    </xdr:from>
    <xdr:to>
      <xdr:col>2</xdr:col>
      <xdr:colOff>504825</xdr:colOff>
      <xdr:row>101</xdr:row>
      <xdr:rowOff>104775</xdr:rowOff>
    </xdr:to>
    <xdr:cxnSp macro="">
      <xdr:nvCxnSpPr>
        <xdr:cNvPr id="544" name="543 Conector recto">
          <a:extLst>
            <a:ext uri="{FF2B5EF4-FFF2-40B4-BE49-F238E27FC236}">
              <a16:creationId xmlns:a16="http://schemas.microsoft.com/office/drawing/2014/main" id="{EC45B643-D562-5A25-EAAB-3746A328C400}"/>
            </a:ext>
          </a:extLst>
        </xdr:cNvPr>
        <xdr:cNvCxnSpPr/>
      </xdr:nvCxnSpPr>
      <xdr:spPr>
        <a:xfrm>
          <a:off x="4753995" y="20148096"/>
          <a:ext cx="350044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95250</xdr:colOff>
      <xdr:row>119</xdr:row>
      <xdr:rowOff>76200</xdr:rowOff>
    </xdr:from>
    <xdr:to>
      <xdr:col>2</xdr:col>
      <xdr:colOff>495300</xdr:colOff>
      <xdr:row>119</xdr:row>
      <xdr:rowOff>142875</xdr:rowOff>
    </xdr:to>
    <xdr:grpSp>
      <xdr:nvGrpSpPr>
        <xdr:cNvPr id="149757" name="285 Grupo">
          <a:extLst>
            <a:ext uri="{FF2B5EF4-FFF2-40B4-BE49-F238E27FC236}">
              <a16:creationId xmlns:a16="http://schemas.microsoft.com/office/drawing/2014/main" id="{5C6C7F95-9451-8E6F-A76C-54F4BA0AC163}"/>
            </a:ext>
          </a:extLst>
        </xdr:cNvPr>
        <xdr:cNvGrpSpPr>
          <a:grpSpLocks/>
        </xdr:cNvGrpSpPr>
      </xdr:nvGrpSpPr>
      <xdr:grpSpPr bwMode="auto">
        <a:xfrm>
          <a:off x="4962525" y="24126825"/>
          <a:ext cx="400050" cy="66675"/>
          <a:chOff x="4041542" y="677472"/>
          <a:chExt cx="400879" cy="69058"/>
        </a:xfrm>
      </xdr:grpSpPr>
      <xdr:sp macro="" textlink="">
        <xdr:nvSpPr>
          <xdr:cNvPr id="149796" name="Line 46">
            <a:extLst>
              <a:ext uri="{FF2B5EF4-FFF2-40B4-BE49-F238E27FC236}">
                <a16:creationId xmlns:a16="http://schemas.microsoft.com/office/drawing/2014/main" id="{0F81C3C6-8629-EECF-20E8-7685438A0007}"/>
              </a:ext>
            </a:extLst>
          </xdr:cNvPr>
          <xdr:cNvSpPr>
            <a:spLocks noChangeShapeType="1"/>
          </xdr:cNvSpPr>
        </xdr:nvSpPr>
        <xdr:spPr bwMode="auto">
          <a:xfrm>
            <a:off x="4048125" y="682136"/>
            <a:ext cx="392723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cxnSp macro="">
        <xdr:nvCxnSpPr>
          <xdr:cNvPr id="556" name="555 Conector recto">
            <a:extLst>
              <a:ext uri="{FF2B5EF4-FFF2-40B4-BE49-F238E27FC236}">
                <a16:creationId xmlns:a16="http://schemas.microsoft.com/office/drawing/2014/main" id="{74B6A5D6-92FB-199D-59ED-EF4C5A296320}"/>
              </a:ext>
            </a:extLst>
          </xdr:cNvPr>
          <xdr:cNvCxnSpPr/>
        </xdr:nvCxnSpPr>
        <xdr:spPr>
          <a:xfrm rot="5400000" flipH="1" flipV="1">
            <a:off x="4007012" y="712002"/>
            <a:ext cx="69058" cy="0"/>
          </a:xfrm>
          <a:prstGeom prst="line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57" name="556 Conector recto">
            <a:extLst>
              <a:ext uri="{FF2B5EF4-FFF2-40B4-BE49-F238E27FC236}">
                <a16:creationId xmlns:a16="http://schemas.microsoft.com/office/drawing/2014/main" id="{50BDAD96-82E8-336D-ACF4-1E85059CB634}"/>
              </a:ext>
            </a:extLst>
          </xdr:cNvPr>
          <xdr:cNvCxnSpPr/>
        </xdr:nvCxnSpPr>
        <xdr:spPr>
          <a:xfrm rot="5400000" flipH="1" flipV="1">
            <a:off x="4407891" y="712002"/>
            <a:ext cx="69058" cy="0"/>
          </a:xfrm>
          <a:prstGeom prst="line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</xdr:col>
      <xdr:colOff>209550</xdr:colOff>
      <xdr:row>121</xdr:row>
      <xdr:rowOff>38100</xdr:rowOff>
    </xdr:from>
    <xdr:to>
      <xdr:col>2</xdr:col>
      <xdr:colOff>419100</xdr:colOff>
      <xdr:row>121</xdr:row>
      <xdr:rowOff>161925</xdr:rowOff>
    </xdr:to>
    <xdr:grpSp>
      <xdr:nvGrpSpPr>
        <xdr:cNvPr id="149758" name="289 Grupo">
          <a:extLst>
            <a:ext uri="{FF2B5EF4-FFF2-40B4-BE49-F238E27FC236}">
              <a16:creationId xmlns:a16="http://schemas.microsoft.com/office/drawing/2014/main" id="{BD9FD108-1441-253A-4E4A-3535E24F7DFC}"/>
            </a:ext>
          </a:extLst>
        </xdr:cNvPr>
        <xdr:cNvGrpSpPr>
          <a:grpSpLocks/>
        </xdr:cNvGrpSpPr>
      </xdr:nvGrpSpPr>
      <xdr:grpSpPr bwMode="auto">
        <a:xfrm>
          <a:off x="5076825" y="24488775"/>
          <a:ext cx="209550" cy="123825"/>
          <a:chOff x="6662421" y="677472"/>
          <a:chExt cx="165821" cy="71226"/>
        </a:xfrm>
      </xdr:grpSpPr>
      <xdr:cxnSp macro="">
        <xdr:nvCxnSpPr>
          <xdr:cNvPr id="561" name="560 Conector recto">
            <a:extLst>
              <a:ext uri="{FF2B5EF4-FFF2-40B4-BE49-F238E27FC236}">
                <a16:creationId xmlns:a16="http://schemas.microsoft.com/office/drawing/2014/main" id="{5AF5924D-80FC-FC62-E562-310B8C5C975B}"/>
              </a:ext>
            </a:extLst>
          </xdr:cNvPr>
          <xdr:cNvCxnSpPr/>
        </xdr:nvCxnSpPr>
        <xdr:spPr>
          <a:xfrm rot="5400000" flipH="1" flipV="1">
            <a:off x="6626808" y="713085"/>
            <a:ext cx="71226" cy="0"/>
          </a:xfrm>
          <a:prstGeom prst="line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64" name="563 Conector recto">
            <a:extLst>
              <a:ext uri="{FF2B5EF4-FFF2-40B4-BE49-F238E27FC236}">
                <a16:creationId xmlns:a16="http://schemas.microsoft.com/office/drawing/2014/main" id="{491BBBBA-C149-A53D-315C-6DD114BF0D58}"/>
              </a:ext>
            </a:extLst>
          </xdr:cNvPr>
          <xdr:cNvCxnSpPr/>
        </xdr:nvCxnSpPr>
        <xdr:spPr>
          <a:xfrm rot="5400000" flipH="1" flipV="1">
            <a:off x="6792629" y="713085"/>
            <a:ext cx="71226" cy="0"/>
          </a:xfrm>
          <a:prstGeom prst="line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65" name="564 Conector recto">
            <a:extLst>
              <a:ext uri="{FF2B5EF4-FFF2-40B4-BE49-F238E27FC236}">
                <a16:creationId xmlns:a16="http://schemas.microsoft.com/office/drawing/2014/main" id="{CE5EB257-4389-B223-087A-C28F60D08C74}"/>
              </a:ext>
            </a:extLst>
          </xdr:cNvPr>
          <xdr:cNvCxnSpPr/>
        </xdr:nvCxnSpPr>
        <xdr:spPr>
          <a:xfrm flipH="1" flipV="1">
            <a:off x="6775481" y="721303"/>
            <a:ext cx="30149" cy="27395"/>
          </a:xfrm>
          <a:prstGeom prst="line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68" name="567 Conector recto">
            <a:extLst>
              <a:ext uri="{FF2B5EF4-FFF2-40B4-BE49-F238E27FC236}">
                <a16:creationId xmlns:a16="http://schemas.microsoft.com/office/drawing/2014/main" id="{0E35AB5F-F48D-51F2-DA53-49162C6DB046}"/>
              </a:ext>
            </a:extLst>
          </xdr:cNvPr>
          <xdr:cNvCxnSpPr/>
        </xdr:nvCxnSpPr>
        <xdr:spPr>
          <a:xfrm flipH="1" flipV="1">
            <a:off x="6790555" y="704867"/>
            <a:ext cx="37687" cy="27395"/>
          </a:xfrm>
          <a:prstGeom prst="line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149794" name="Line 46">
            <a:extLst>
              <a:ext uri="{FF2B5EF4-FFF2-40B4-BE49-F238E27FC236}">
                <a16:creationId xmlns:a16="http://schemas.microsoft.com/office/drawing/2014/main" id="{ACB126A6-D5D3-1FBA-53AE-F4767A7FD4DC}"/>
              </a:ext>
            </a:extLst>
          </xdr:cNvPr>
          <xdr:cNvSpPr>
            <a:spLocks noChangeShapeType="1"/>
          </xdr:cNvSpPr>
        </xdr:nvSpPr>
        <xdr:spPr bwMode="auto">
          <a:xfrm flipV="1">
            <a:off x="6667926" y="681037"/>
            <a:ext cx="159117" cy="194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49795" name="Line 46">
            <a:extLst>
              <a:ext uri="{FF2B5EF4-FFF2-40B4-BE49-F238E27FC236}">
                <a16:creationId xmlns:a16="http://schemas.microsoft.com/office/drawing/2014/main" id="{E6DBF255-266E-D457-3DB5-B7957687785E}"/>
              </a:ext>
            </a:extLst>
          </xdr:cNvPr>
          <xdr:cNvSpPr>
            <a:spLocks noChangeShapeType="1"/>
          </xdr:cNvSpPr>
        </xdr:nvSpPr>
        <xdr:spPr bwMode="auto">
          <a:xfrm flipV="1">
            <a:off x="6667938" y="747713"/>
            <a:ext cx="159105" cy="985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2</xdr:col>
      <xdr:colOff>95250</xdr:colOff>
      <xdr:row>120</xdr:row>
      <xdr:rowOff>76200</xdr:rowOff>
    </xdr:from>
    <xdr:to>
      <xdr:col>2</xdr:col>
      <xdr:colOff>495300</xdr:colOff>
      <xdr:row>120</xdr:row>
      <xdr:rowOff>142875</xdr:rowOff>
    </xdr:to>
    <xdr:grpSp>
      <xdr:nvGrpSpPr>
        <xdr:cNvPr id="149759" name="296 Grupo">
          <a:extLst>
            <a:ext uri="{FF2B5EF4-FFF2-40B4-BE49-F238E27FC236}">
              <a16:creationId xmlns:a16="http://schemas.microsoft.com/office/drawing/2014/main" id="{47CC779F-2C35-3498-CFE1-06D28E1FA032}"/>
            </a:ext>
          </a:extLst>
        </xdr:cNvPr>
        <xdr:cNvGrpSpPr>
          <a:grpSpLocks/>
        </xdr:cNvGrpSpPr>
      </xdr:nvGrpSpPr>
      <xdr:grpSpPr bwMode="auto">
        <a:xfrm>
          <a:off x="4962525" y="24326850"/>
          <a:ext cx="400050" cy="66675"/>
          <a:chOff x="4041542" y="677472"/>
          <a:chExt cx="400879" cy="69058"/>
        </a:xfrm>
      </xdr:grpSpPr>
      <xdr:sp macro="" textlink="">
        <xdr:nvSpPr>
          <xdr:cNvPr id="149787" name="Line 46">
            <a:extLst>
              <a:ext uri="{FF2B5EF4-FFF2-40B4-BE49-F238E27FC236}">
                <a16:creationId xmlns:a16="http://schemas.microsoft.com/office/drawing/2014/main" id="{5320655F-B521-1C93-E381-C07F3F77A81A}"/>
              </a:ext>
            </a:extLst>
          </xdr:cNvPr>
          <xdr:cNvSpPr>
            <a:spLocks noChangeShapeType="1"/>
          </xdr:cNvSpPr>
        </xdr:nvSpPr>
        <xdr:spPr bwMode="auto">
          <a:xfrm>
            <a:off x="4048125" y="682136"/>
            <a:ext cx="392723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cxnSp macro="">
        <xdr:nvCxnSpPr>
          <xdr:cNvPr id="574" name="573 Conector recto">
            <a:extLst>
              <a:ext uri="{FF2B5EF4-FFF2-40B4-BE49-F238E27FC236}">
                <a16:creationId xmlns:a16="http://schemas.microsoft.com/office/drawing/2014/main" id="{C3168591-CA14-5523-B65B-B750E4142548}"/>
              </a:ext>
            </a:extLst>
          </xdr:cNvPr>
          <xdr:cNvCxnSpPr/>
        </xdr:nvCxnSpPr>
        <xdr:spPr>
          <a:xfrm rot="5400000" flipH="1" flipV="1">
            <a:off x="4007012" y="712002"/>
            <a:ext cx="69058" cy="0"/>
          </a:xfrm>
          <a:prstGeom prst="line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75" name="574 Conector recto">
            <a:extLst>
              <a:ext uri="{FF2B5EF4-FFF2-40B4-BE49-F238E27FC236}">
                <a16:creationId xmlns:a16="http://schemas.microsoft.com/office/drawing/2014/main" id="{6D75A41D-1F4F-5C46-3F0D-FC6C7E9B7D48}"/>
              </a:ext>
            </a:extLst>
          </xdr:cNvPr>
          <xdr:cNvCxnSpPr/>
        </xdr:nvCxnSpPr>
        <xdr:spPr>
          <a:xfrm rot="5400000" flipH="1" flipV="1">
            <a:off x="4407891" y="712002"/>
            <a:ext cx="69058" cy="0"/>
          </a:xfrm>
          <a:prstGeom prst="line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</xdr:col>
      <xdr:colOff>95250</xdr:colOff>
      <xdr:row>133</xdr:row>
      <xdr:rowOff>76200</xdr:rowOff>
    </xdr:from>
    <xdr:to>
      <xdr:col>2</xdr:col>
      <xdr:colOff>495300</xdr:colOff>
      <xdr:row>133</xdr:row>
      <xdr:rowOff>142875</xdr:rowOff>
    </xdr:to>
    <xdr:grpSp>
      <xdr:nvGrpSpPr>
        <xdr:cNvPr id="149760" name="285 Grupo">
          <a:extLst>
            <a:ext uri="{FF2B5EF4-FFF2-40B4-BE49-F238E27FC236}">
              <a16:creationId xmlns:a16="http://schemas.microsoft.com/office/drawing/2014/main" id="{46B04B78-8530-776C-18D9-267F6EF26C79}"/>
            </a:ext>
          </a:extLst>
        </xdr:cNvPr>
        <xdr:cNvGrpSpPr>
          <a:grpSpLocks/>
        </xdr:cNvGrpSpPr>
      </xdr:nvGrpSpPr>
      <xdr:grpSpPr bwMode="auto">
        <a:xfrm>
          <a:off x="4962525" y="26927175"/>
          <a:ext cx="400050" cy="66675"/>
          <a:chOff x="4041542" y="677472"/>
          <a:chExt cx="400879" cy="69058"/>
        </a:xfrm>
      </xdr:grpSpPr>
      <xdr:sp macro="" textlink="">
        <xdr:nvSpPr>
          <xdr:cNvPr id="149784" name="Line 46">
            <a:extLst>
              <a:ext uri="{FF2B5EF4-FFF2-40B4-BE49-F238E27FC236}">
                <a16:creationId xmlns:a16="http://schemas.microsoft.com/office/drawing/2014/main" id="{F8F51001-B7D0-48C2-6ABA-2DE81CE20D17}"/>
              </a:ext>
            </a:extLst>
          </xdr:cNvPr>
          <xdr:cNvSpPr>
            <a:spLocks noChangeShapeType="1"/>
          </xdr:cNvSpPr>
        </xdr:nvSpPr>
        <xdr:spPr bwMode="auto">
          <a:xfrm>
            <a:off x="4048125" y="682136"/>
            <a:ext cx="392723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cxnSp macro="">
        <xdr:nvCxnSpPr>
          <xdr:cNvPr id="586" name="585 Conector recto">
            <a:extLst>
              <a:ext uri="{FF2B5EF4-FFF2-40B4-BE49-F238E27FC236}">
                <a16:creationId xmlns:a16="http://schemas.microsoft.com/office/drawing/2014/main" id="{A3F43AAD-49F0-0E56-51EB-5779AAC49287}"/>
              </a:ext>
            </a:extLst>
          </xdr:cNvPr>
          <xdr:cNvCxnSpPr/>
        </xdr:nvCxnSpPr>
        <xdr:spPr>
          <a:xfrm rot="5400000" flipH="1" flipV="1">
            <a:off x="4007012" y="712002"/>
            <a:ext cx="69058" cy="0"/>
          </a:xfrm>
          <a:prstGeom prst="line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89" name="588 Conector recto">
            <a:extLst>
              <a:ext uri="{FF2B5EF4-FFF2-40B4-BE49-F238E27FC236}">
                <a16:creationId xmlns:a16="http://schemas.microsoft.com/office/drawing/2014/main" id="{5F33FBA3-F93E-A678-CA45-8040A516C3E1}"/>
              </a:ext>
            </a:extLst>
          </xdr:cNvPr>
          <xdr:cNvCxnSpPr/>
        </xdr:nvCxnSpPr>
        <xdr:spPr>
          <a:xfrm rot="5400000" flipH="1" flipV="1">
            <a:off x="4407891" y="712002"/>
            <a:ext cx="69058" cy="0"/>
          </a:xfrm>
          <a:prstGeom prst="line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</xdr:col>
      <xdr:colOff>95250</xdr:colOff>
      <xdr:row>134</xdr:row>
      <xdr:rowOff>76200</xdr:rowOff>
    </xdr:from>
    <xdr:to>
      <xdr:col>2</xdr:col>
      <xdr:colOff>495300</xdr:colOff>
      <xdr:row>134</xdr:row>
      <xdr:rowOff>142875</xdr:rowOff>
    </xdr:to>
    <xdr:grpSp>
      <xdr:nvGrpSpPr>
        <xdr:cNvPr id="149761" name="285 Grupo">
          <a:extLst>
            <a:ext uri="{FF2B5EF4-FFF2-40B4-BE49-F238E27FC236}">
              <a16:creationId xmlns:a16="http://schemas.microsoft.com/office/drawing/2014/main" id="{3FBCE300-6E6C-3EBD-6188-D4DC93576486}"/>
            </a:ext>
          </a:extLst>
        </xdr:cNvPr>
        <xdr:cNvGrpSpPr>
          <a:grpSpLocks/>
        </xdr:cNvGrpSpPr>
      </xdr:nvGrpSpPr>
      <xdr:grpSpPr bwMode="auto">
        <a:xfrm>
          <a:off x="4962525" y="27127200"/>
          <a:ext cx="400050" cy="66675"/>
          <a:chOff x="4041542" y="677472"/>
          <a:chExt cx="400879" cy="69058"/>
        </a:xfrm>
      </xdr:grpSpPr>
      <xdr:sp macro="" textlink="">
        <xdr:nvSpPr>
          <xdr:cNvPr id="149781" name="Line 46">
            <a:extLst>
              <a:ext uri="{FF2B5EF4-FFF2-40B4-BE49-F238E27FC236}">
                <a16:creationId xmlns:a16="http://schemas.microsoft.com/office/drawing/2014/main" id="{98A2B166-F8B4-F88A-1CF8-CD681E04FC27}"/>
              </a:ext>
            </a:extLst>
          </xdr:cNvPr>
          <xdr:cNvSpPr>
            <a:spLocks noChangeShapeType="1"/>
          </xdr:cNvSpPr>
        </xdr:nvSpPr>
        <xdr:spPr bwMode="auto">
          <a:xfrm>
            <a:off x="4048125" y="682136"/>
            <a:ext cx="392723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cxnSp macro="">
        <xdr:nvCxnSpPr>
          <xdr:cNvPr id="608" name="607 Conector recto">
            <a:extLst>
              <a:ext uri="{FF2B5EF4-FFF2-40B4-BE49-F238E27FC236}">
                <a16:creationId xmlns:a16="http://schemas.microsoft.com/office/drawing/2014/main" id="{CA4EE444-94B3-1170-067A-F46D016BF48A}"/>
              </a:ext>
            </a:extLst>
          </xdr:cNvPr>
          <xdr:cNvCxnSpPr/>
        </xdr:nvCxnSpPr>
        <xdr:spPr>
          <a:xfrm rot="5400000" flipH="1" flipV="1">
            <a:off x="4007012" y="712002"/>
            <a:ext cx="69058" cy="0"/>
          </a:xfrm>
          <a:prstGeom prst="line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09" name="608 Conector recto">
            <a:extLst>
              <a:ext uri="{FF2B5EF4-FFF2-40B4-BE49-F238E27FC236}">
                <a16:creationId xmlns:a16="http://schemas.microsoft.com/office/drawing/2014/main" id="{9E6C3E44-C66F-AB47-F222-6EFFDAEF4113}"/>
              </a:ext>
            </a:extLst>
          </xdr:cNvPr>
          <xdr:cNvCxnSpPr/>
        </xdr:nvCxnSpPr>
        <xdr:spPr>
          <a:xfrm rot="5400000" flipH="1" flipV="1">
            <a:off x="4407891" y="712002"/>
            <a:ext cx="69058" cy="0"/>
          </a:xfrm>
          <a:prstGeom prst="line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</xdr:col>
      <xdr:colOff>209550</xdr:colOff>
      <xdr:row>128</xdr:row>
      <xdr:rowOff>28575</xdr:rowOff>
    </xdr:from>
    <xdr:to>
      <xdr:col>2</xdr:col>
      <xdr:colOff>523875</xdr:colOff>
      <xdr:row>128</xdr:row>
      <xdr:rowOff>104775</xdr:rowOff>
    </xdr:to>
    <xdr:grpSp>
      <xdr:nvGrpSpPr>
        <xdr:cNvPr id="149762" name="300 Grupo">
          <a:extLst>
            <a:ext uri="{FF2B5EF4-FFF2-40B4-BE49-F238E27FC236}">
              <a16:creationId xmlns:a16="http://schemas.microsoft.com/office/drawing/2014/main" id="{15C70D5F-2368-F45C-5C52-3BD8B345F065}"/>
            </a:ext>
          </a:extLst>
        </xdr:cNvPr>
        <xdr:cNvGrpSpPr>
          <a:grpSpLocks/>
        </xdr:cNvGrpSpPr>
      </xdr:nvGrpSpPr>
      <xdr:grpSpPr bwMode="auto">
        <a:xfrm>
          <a:off x="5076825" y="25879425"/>
          <a:ext cx="314325" cy="76200"/>
          <a:chOff x="4707729" y="631035"/>
          <a:chExt cx="310753" cy="69055"/>
        </a:xfrm>
      </xdr:grpSpPr>
      <xdr:sp macro="" textlink="">
        <xdr:nvSpPr>
          <xdr:cNvPr id="149779" name="Line 46">
            <a:extLst>
              <a:ext uri="{FF2B5EF4-FFF2-40B4-BE49-F238E27FC236}">
                <a16:creationId xmlns:a16="http://schemas.microsoft.com/office/drawing/2014/main" id="{BCFBB8DE-7082-2C14-8049-EB27759F0E7D}"/>
              </a:ext>
            </a:extLst>
          </xdr:cNvPr>
          <xdr:cNvSpPr>
            <a:spLocks noChangeShapeType="1"/>
          </xdr:cNvSpPr>
        </xdr:nvSpPr>
        <xdr:spPr bwMode="auto">
          <a:xfrm>
            <a:off x="4707729" y="697708"/>
            <a:ext cx="304800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cxnSp macro="">
        <xdr:nvCxnSpPr>
          <xdr:cNvPr id="616" name="615 Conector recto">
            <a:extLst>
              <a:ext uri="{FF2B5EF4-FFF2-40B4-BE49-F238E27FC236}">
                <a16:creationId xmlns:a16="http://schemas.microsoft.com/office/drawing/2014/main" id="{9BD2EED1-40CC-B6CE-0366-320AB803DB04}"/>
              </a:ext>
            </a:extLst>
          </xdr:cNvPr>
          <xdr:cNvCxnSpPr/>
        </xdr:nvCxnSpPr>
        <xdr:spPr>
          <a:xfrm rot="5400000" flipH="1" flipV="1">
            <a:off x="4983955" y="665563"/>
            <a:ext cx="69055" cy="0"/>
          </a:xfrm>
          <a:prstGeom prst="line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</xdr:col>
      <xdr:colOff>154781</xdr:colOff>
      <xdr:row>106</xdr:row>
      <xdr:rowOff>104775</xdr:rowOff>
    </xdr:from>
    <xdr:to>
      <xdr:col>2</xdr:col>
      <xdr:colOff>504825</xdr:colOff>
      <xdr:row>106</xdr:row>
      <xdr:rowOff>104775</xdr:rowOff>
    </xdr:to>
    <xdr:cxnSp macro="">
      <xdr:nvCxnSpPr>
        <xdr:cNvPr id="620" name="619 Conector recto">
          <a:extLst>
            <a:ext uri="{FF2B5EF4-FFF2-40B4-BE49-F238E27FC236}">
              <a16:creationId xmlns:a16="http://schemas.microsoft.com/office/drawing/2014/main" id="{481B4A4C-3121-6025-6749-0E68510C8705}"/>
            </a:ext>
          </a:extLst>
        </xdr:cNvPr>
        <xdr:cNvCxnSpPr/>
      </xdr:nvCxnSpPr>
      <xdr:spPr>
        <a:xfrm>
          <a:off x="4749193" y="21732128"/>
          <a:ext cx="350044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154781</xdr:colOff>
      <xdr:row>129</xdr:row>
      <xdr:rowOff>104775</xdr:rowOff>
    </xdr:from>
    <xdr:to>
      <xdr:col>2</xdr:col>
      <xdr:colOff>504825</xdr:colOff>
      <xdr:row>129</xdr:row>
      <xdr:rowOff>104775</xdr:rowOff>
    </xdr:to>
    <xdr:cxnSp macro="">
      <xdr:nvCxnSpPr>
        <xdr:cNvPr id="621" name="620 Conector recto">
          <a:extLst>
            <a:ext uri="{FF2B5EF4-FFF2-40B4-BE49-F238E27FC236}">
              <a16:creationId xmlns:a16="http://schemas.microsoft.com/office/drawing/2014/main" id="{312B8DC7-F470-EADC-8015-488489007A7F}"/>
            </a:ext>
          </a:extLst>
        </xdr:cNvPr>
        <xdr:cNvCxnSpPr/>
      </xdr:nvCxnSpPr>
      <xdr:spPr>
        <a:xfrm>
          <a:off x="4749193" y="21732128"/>
          <a:ext cx="350044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154781</xdr:colOff>
      <xdr:row>129</xdr:row>
      <xdr:rowOff>104775</xdr:rowOff>
    </xdr:from>
    <xdr:to>
      <xdr:col>2</xdr:col>
      <xdr:colOff>504825</xdr:colOff>
      <xdr:row>129</xdr:row>
      <xdr:rowOff>104775</xdr:rowOff>
    </xdr:to>
    <xdr:cxnSp macro="">
      <xdr:nvCxnSpPr>
        <xdr:cNvPr id="622" name="621 Conector recto">
          <a:extLst>
            <a:ext uri="{FF2B5EF4-FFF2-40B4-BE49-F238E27FC236}">
              <a16:creationId xmlns:a16="http://schemas.microsoft.com/office/drawing/2014/main" id="{C1E8CAD8-5D85-A509-C5B1-9B21EF16DBCC}"/>
            </a:ext>
          </a:extLst>
        </xdr:cNvPr>
        <xdr:cNvCxnSpPr/>
      </xdr:nvCxnSpPr>
      <xdr:spPr>
        <a:xfrm>
          <a:off x="4749193" y="21732128"/>
          <a:ext cx="350044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154781</xdr:colOff>
      <xdr:row>161</xdr:row>
      <xdr:rowOff>104775</xdr:rowOff>
    </xdr:from>
    <xdr:to>
      <xdr:col>2</xdr:col>
      <xdr:colOff>504825</xdr:colOff>
      <xdr:row>161</xdr:row>
      <xdr:rowOff>104775</xdr:rowOff>
    </xdr:to>
    <xdr:cxnSp macro="">
      <xdr:nvCxnSpPr>
        <xdr:cNvPr id="625" name="624 Conector recto">
          <a:extLst>
            <a:ext uri="{FF2B5EF4-FFF2-40B4-BE49-F238E27FC236}">
              <a16:creationId xmlns:a16="http://schemas.microsoft.com/office/drawing/2014/main" id="{F583F03F-B283-C04B-F226-47F2E939DF7A}"/>
            </a:ext>
          </a:extLst>
        </xdr:cNvPr>
        <xdr:cNvCxnSpPr/>
      </xdr:nvCxnSpPr>
      <xdr:spPr>
        <a:xfrm>
          <a:off x="4749193" y="34237893"/>
          <a:ext cx="350044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209550</xdr:colOff>
      <xdr:row>163</xdr:row>
      <xdr:rowOff>28575</xdr:rowOff>
    </xdr:from>
    <xdr:to>
      <xdr:col>2</xdr:col>
      <xdr:colOff>523875</xdr:colOff>
      <xdr:row>163</xdr:row>
      <xdr:rowOff>161925</xdr:rowOff>
    </xdr:to>
    <xdr:grpSp>
      <xdr:nvGrpSpPr>
        <xdr:cNvPr id="149767" name="137 Grupo">
          <a:extLst>
            <a:ext uri="{FF2B5EF4-FFF2-40B4-BE49-F238E27FC236}">
              <a16:creationId xmlns:a16="http://schemas.microsoft.com/office/drawing/2014/main" id="{E3A70C56-1FE1-AE34-225C-31FEAB98F1F8}"/>
            </a:ext>
          </a:extLst>
        </xdr:cNvPr>
        <xdr:cNvGrpSpPr>
          <a:grpSpLocks/>
        </xdr:cNvGrpSpPr>
      </xdr:nvGrpSpPr>
      <xdr:grpSpPr bwMode="auto">
        <a:xfrm>
          <a:off x="5076825" y="32880300"/>
          <a:ext cx="314325" cy="133350"/>
          <a:chOff x="4704169" y="631035"/>
          <a:chExt cx="314313" cy="133351"/>
        </a:xfrm>
      </xdr:grpSpPr>
      <xdr:sp macro="" textlink="">
        <xdr:nvSpPr>
          <xdr:cNvPr id="149776" name="Line 46">
            <a:extLst>
              <a:ext uri="{FF2B5EF4-FFF2-40B4-BE49-F238E27FC236}">
                <a16:creationId xmlns:a16="http://schemas.microsoft.com/office/drawing/2014/main" id="{EC14CC8F-0C48-AA2C-9E49-8C929BABD8EC}"/>
              </a:ext>
            </a:extLst>
          </xdr:cNvPr>
          <xdr:cNvSpPr>
            <a:spLocks noChangeShapeType="1"/>
          </xdr:cNvSpPr>
        </xdr:nvSpPr>
        <xdr:spPr bwMode="auto">
          <a:xfrm>
            <a:off x="4707729" y="697708"/>
            <a:ext cx="304800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cxnSp macro="">
        <xdr:nvCxnSpPr>
          <xdr:cNvPr id="630" name="629 Conector recto">
            <a:extLst>
              <a:ext uri="{FF2B5EF4-FFF2-40B4-BE49-F238E27FC236}">
                <a16:creationId xmlns:a16="http://schemas.microsoft.com/office/drawing/2014/main" id="{2543C9A4-042F-F273-0DCC-7C3BAA42F158}"/>
              </a:ext>
            </a:extLst>
          </xdr:cNvPr>
          <xdr:cNvCxnSpPr/>
        </xdr:nvCxnSpPr>
        <xdr:spPr>
          <a:xfrm rot="5400000" flipH="1" flipV="1">
            <a:off x="4985144" y="664373"/>
            <a:ext cx="66676" cy="0"/>
          </a:xfrm>
          <a:prstGeom prst="line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33" name="632 Conector recto">
            <a:extLst>
              <a:ext uri="{FF2B5EF4-FFF2-40B4-BE49-F238E27FC236}">
                <a16:creationId xmlns:a16="http://schemas.microsoft.com/office/drawing/2014/main" id="{879C6989-27E7-DBCE-7138-042CACD3E062}"/>
              </a:ext>
            </a:extLst>
          </xdr:cNvPr>
          <xdr:cNvCxnSpPr/>
        </xdr:nvCxnSpPr>
        <xdr:spPr>
          <a:xfrm rot="5400000" flipH="1" flipV="1">
            <a:off x="4670831" y="731049"/>
            <a:ext cx="66676" cy="0"/>
          </a:xfrm>
          <a:prstGeom prst="line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</xdr:col>
      <xdr:colOff>209550</xdr:colOff>
      <xdr:row>165</xdr:row>
      <xdr:rowOff>28575</xdr:rowOff>
    </xdr:from>
    <xdr:to>
      <xdr:col>2</xdr:col>
      <xdr:colOff>523875</xdr:colOff>
      <xdr:row>165</xdr:row>
      <xdr:rowOff>104775</xdr:rowOff>
    </xdr:to>
    <xdr:grpSp>
      <xdr:nvGrpSpPr>
        <xdr:cNvPr id="149768" name="300 Grupo">
          <a:extLst>
            <a:ext uri="{FF2B5EF4-FFF2-40B4-BE49-F238E27FC236}">
              <a16:creationId xmlns:a16="http://schemas.microsoft.com/office/drawing/2014/main" id="{EE1CC9DC-4331-9E1D-EB82-744C04412F83}"/>
            </a:ext>
          </a:extLst>
        </xdr:cNvPr>
        <xdr:cNvGrpSpPr>
          <a:grpSpLocks/>
        </xdr:cNvGrpSpPr>
      </xdr:nvGrpSpPr>
      <xdr:grpSpPr bwMode="auto">
        <a:xfrm>
          <a:off x="5076825" y="33280350"/>
          <a:ext cx="314325" cy="76200"/>
          <a:chOff x="4707729" y="631035"/>
          <a:chExt cx="310753" cy="69055"/>
        </a:xfrm>
      </xdr:grpSpPr>
      <xdr:sp macro="" textlink="">
        <xdr:nvSpPr>
          <xdr:cNvPr id="149774" name="Line 46">
            <a:extLst>
              <a:ext uri="{FF2B5EF4-FFF2-40B4-BE49-F238E27FC236}">
                <a16:creationId xmlns:a16="http://schemas.microsoft.com/office/drawing/2014/main" id="{EF87875F-A586-242B-02D2-7EBC6CFB60C3}"/>
              </a:ext>
            </a:extLst>
          </xdr:cNvPr>
          <xdr:cNvSpPr>
            <a:spLocks noChangeShapeType="1"/>
          </xdr:cNvSpPr>
        </xdr:nvSpPr>
        <xdr:spPr bwMode="auto">
          <a:xfrm>
            <a:off x="4707729" y="697708"/>
            <a:ext cx="304800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cxnSp macro="">
        <xdr:nvCxnSpPr>
          <xdr:cNvPr id="645" name="644 Conector recto">
            <a:extLst>
              <a:ext uri="{FF2B5EF4-FFF2-40B4-BE49-F238E27FC236}">
                <a16:creationId xmlns:a16="http://schemas.microsoft.com/office/drawing/2014/main" id="{97F64A69-56A1-E303-6125-5B4BE45C142E}"/>
              </a:ext>
            </a:extLst>
          </xdr:cNvPr>
          <xdr:cNvCxnSpPr/>
        </xdr:nvCxnSpPr>
        <xdr:spPr>
          <a:xfrm rot="5400000" flipH="1" flipV="1">
            <a:off x="4983955" y="665563"/>
            <a:ext cx="69055" cy="0"/>
          </a:xfrm>
          <a:prstGeom prst="line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</xdr:col>
      <xdr:colOff>209550</xdr:colOff>
      <xdr:row>164</xdr:row>
      <xdr:rowOff>28575</xdr:rowOff>
    </xdr:from>
    <xdr:to>
      <xdr:col>2</xdr:col>
      <xdr:colOff>523875</xdr:colOff>
      <xdr:row>164</xdr:row>
      <xdr:rowOff>161925</xdr:rowOff>
    </xdr:to>
    <xdr:grpSp>
      <xdr:nvGrpSpPr>
        <xdr:cNvPr id="149769" name="137 Grupo">
          <a:extLst>
            <a:ext uri="{FF2B5EF4-FFF2-40B4-BE49-F238E27FC236}">
              <a16:creationId xmlns:a16="http://schemas.microsoft.com/office/drawing/2014/main" id="{902DF766-55E2-D478-A85A-EAFC904E1C41}"/>
            </a:ext>
          </a:extLst>
        </xdr:cNvPr>
        <xdr:cNvGrpSpPr>
          <a:grpSpLocks/>
        </xdr:cNvGrpSpPr>
      </xdr:nvGrpSpPr>
      <xdr:grpSpPr bwMode="auto">
        <a:xfrm>
          <a:off x="5076825" y="33080325"/>
          <a:ext cx="314325" cy="133350"/>
          <a:chOff x="4704169" y="631035"/>
          <a:chExt cx="314313" cy="133351"/>
        </a:xfrm>
      </xdr:grpSpPr>
      <xdr:sp macro="" textlink="">
        <xdr:nvSpPr>
          <xdr:cNvPr id="149771" name="Line 46">
            <a:extLst>
              <a:ext uri="{FF2B5EF4-FFF2-40B4-BE49-F238E27FC236}">
                <a16:creationId xmlns:a16="http://schemas.microsoft.com/office/drawing/2014/main" id="{548E8621-81C5-5790-2A2C-7ED02D5C5CB0}"/>
              </a:ext>
            </a:extLst>
          </xdr:cNvPr>
          <xdr:cNvSpPr>
            <a:spLocks noChangeShapeType="1"/>
          </xdr:cNvSpPr>
        </xdr:nvSpPr>
        <xdr:spPr bwMode="auto">
          <a:xfrm>
            <a:off x="4707729" y="697708"/>
            <a:ext cx="304800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cxnSp macro="">
        <xdr:nvCxnSpPr>
          <xdr:cNvPr id="648" name="647 Conector recto">
            <a:extLst>
              <a:ext uri="{FF2B5EF4-FFF2-40B4-BE49-F238E27FC236}">
                <a16:creationId xmlns:a16="http://schemas.microsoft.com/office/drawing/2014/main" id="{F429913B-2BAE-1BF1-3F1A-E7C712A4D57E}"/>
              </a:ext>
            </a:extLst>
          </xdr:cNvPr>
          <xdr:cNvCxnSpPr/>
        </xdr:nvCxnSpPr>
        <xdr:spPr>
          <a:xfrm rot="5400000" flipH="1" flipV="1">
            <a:off x="4985144" y="664373"/>
            <a:ext cx="66676" cy="0"/>
          </a:xfrm>
          <a:prstGeom prst="line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49" name="648 Conector recto">
            <a:extLst>
              <a:ext uri="{FF2B5EF4-FFF2-40B4-BE49-F238E27FC236}">
                <a16:creationId xmlns:a16="http://schemas.microsoft.com/office/drawing/2014/main" id="{B20E9D5B-D740-ABAB-B84E-091C79E45EE0}"/>
              </a:ext>
            </a:extLst>
          </xdr:cNvPr>
          <xdr:cNvCxnSpPr/>
        </xdr:nvCxnSpPr>
        <xdr:spPr>
          <a:xfrm rot="5400000" flipH="1" flipV="1">
            <a:off x="4670831" y="731049"/>
            <a:ext cx="66676" cy="0"/>
          </a:xfrm>
          <a:prstGeom prst="line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</xdr:col>
      <xdr:colOff>154781</xdr:colOff>
      <xdr:row>166</xdr:row>
      <xdr:rowOff>104775</xdr:rowOff>
    </xdr:from>
    <xdr:to>
      <xdr:col>2</xdr:col>
      <xdr:colOff>504825</xdr:colOff>
      <xdr:row>166</xdr:row>
      <xdr:rowOff>104775</xdr:rowOff>
    </xdr:to>
    <xdr:cxnSp macro="">
      <xdr:nvCxnSpPr>
        <xdr:cNvPr id="650" name="649 Conector recto">
          <a:extLst>
            <a:ext uri="{FF2B5EF4-FFF2-40B4-BE49-F238E27FC236}">
              <a16:creationId xmlns:a16="http://schemas.microsoft.com/office/drawing/2014/main" id="{A0A2647F-1FC0-9C09-94D3-A614A6B8483D}"/>
            </a:ext>
          </a:extLst>
        </xdr:cNvPr>
        <xdr:cNvCxnSpPr/>
      </xdr:nvCxnSpPr>
      <xdr:spPr>
        <a:xfrm>
          <a:off x="4749193" y="34237893"/>
          <a:ext cx="350044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elchor\cp30-08%20f3%20chancas%20staanita\INFORMES\5%20Info%20Final%20ampl\Anexo%2013%20Costos%20y%20Pptos-Eval%20Economica\A%20Costos%20y%20Pptos\Alternat%201\08%20metrados%20C\2%20Obras%20Civiles\1%20Metrado%20REP-01%20V=3000M%20nuevo%20ok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sumen"/>
      <sheetName val="Met.Reservorio"/>
      <sheetName val="Met. cerco"/>
      <sheetName val="Met. obras varias"/>
      <sheetName val="Met.Ca6"/>
      <sheetName val="Met.Ca5"/>
      <sheetName val="Met.Ca7"/>
      <sheetName val="Met.Ca8"/>
      <sheetName val="Met.Ca2"/>
      <sheetName val="acero"/>
    </sheetNames>
    <sheetDataSet>
      <sheetData sheetId="0">
        <row r="2">
          <cell r="B2" t="str">
            <v>AMPLIACIÓN Y MEJORAMIENTO DE LOS SISTEMAS DE AGUA POTABLE Y ALCANTARILLADO PARA EL  ESQUEMA  LOS  CHANCAS  -  LA  ENCALADA  DISTRITO  SANTA  ANITA</v>
          </cell>
        </row>
        <row r="5">
          <cell r="B5" t="str">
            <v>LIMA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D0BE41-A34B-4FEC-B98B-5C575C380F41}">
  <sheetPr>
    <tabColor rgb="FFFF0000"/>
  </sheetPr>
  <dimension ref="A1:G213"/>
  <sheetViews>
    <sheetView tabSelected="1" view="pageBreakPreview" zoomScaleNormal="100" zoomScaleSheetLayoutView="100" workbookViewId="0">
      <selection activeCell="F4" sqref="F4"/>
    </sheetView>
  </sheetViews>
  <sheetFormatPr defaultColWidth="11.42578125" defaultRowHeight="12.75" customHeight="1"/>
  <cols>
    <col min="1" max="1" width="12.5703125" style="162" customWidth="1"/>
    <col min="2" max="2" width="83.28515625" style="26" customWidth="1"/>
    <col min="3" max="3" width="9.28515625" style="2" customWidth="1"/>
    <col min="4" max="4" width="9.28515625" style="3" customWidth="1"/>
    <col min="5" max="16384" width="11.42578125" style="26"/>
  </cols>
  <sheetData>
    <row r="1" spans="1:6" s="27" customFormat="1" ht="31.5" customHeight="1">
      <c r="A1" s="327" t="s">
        <v>0</v>
      </c>
      <c r="B1" s="328"/>
      <c r="C1" s="328"/>
      <c r="D1" s="329"/>
      <c r="E1" s="26"/>
      <c r="F1" s="26"/>
    </row>
    <row r="2" spans="1:6" ht="30.75" customHeight="1">
      <c r="A2" s="318" t="s">
        <v>1</v>
      </c>
      <c r="B2" s="330" t="s">
        <v>2</v>
      </c>
      <c r="C2" s="330"/>
      <c r="D2" s="331"/>
    </row>
    <row r="3" spans="1:6" ht="12.75" customHeight="1">
      <c r="A3" s="319" t="s">
        <v>3</v>
      </c>
      <c r="B3" s="313" t="s">
        <v>4</v>
      </c>
      <c r="C3" s="314"/>
      <c r="D3" s="320"/>
    </row>
    <row r="4" spans="1:6" ht="12.75" customHeight="1">
      <c r="A4" s="319" t="s">
        <v>5</v>
      </c>
      <c r="B4" s="313" t="s">
        <v>6</v>
      </c>
      <c r="C4" s="314"/>
      <c r="D4" s="320"/>
    </row>
    <row r="5" spans="1:6" ht="12.75" customHeight="1">
      <c r="A5" s="319" t="s">
        <v>7</v>
      </c>
      <c r="B5" s="313" t="s">
        <v>8</v>
      </c>
      <c r="C5" s="315" t="s">
        <v>9</v>
      </c>
      <c r="D5" s="321" t="s">
        <v>10</v>
      </c>
    </row>
    <row r="6" spans="1:6" ht="12.75" customHeight="1">
      <c r="A6" s="322" t="s">
        <v>11</v>
      </c>
      <c r="B6" s="316"/>
      <c r="C6" s="317"/>
      <c r="D6" s="323"/>
    </row>
    <row r="7" spans="1:6" ht="12.75" customHeight="1">
      <c r="A7" s="161" t="s">
        <v>12</v>
      </c>
      <c r="B7" s="1" t="s">
        <v>13</v>
      </c>
      <c r="C7" s="1" t="s">
        <v>14</v>
      </c>
      <c r="D7" s="1" t="s">
        <v>0</v>
      </c>
    </row>
    <row r="8" spans="1:6" ht="12.75" customHeight="1">
      <c r="A8" s="311">
        <f>+'1.CDP'!A8</f>
        <v>1.1599999999999999</v>
      </c>
      <c r="B8" s="163" t="str">
        <f>+'1.CDP'!B8</f>
        <v>CAMARA DE DESAGUE PROYECTADO CD-218</v>
      </c>
      <c r="C8" s="166"/>
      <c r="D8" s="25"/>
    </row>
    <row r="9" spans="1:6" s="28" customFormat="1" ht="12.75" customHeight="1">
      <c r="A9" s="311">
        <f>+'1.CDP'!A9</f>
        <v>1.1600999999999999</v>
      </c>
      <c r="B9" s="163" t="str">
        <f>+'1.CDP'!B9</f>
        <v>CAMARA DE DESAGUE</v>
      </c>
      <c r="C9" s="166"/>
      <c r="D9" s="25"/>
    </row>
    <row r="10" spans="1:6" s="69" customFormat="1" ht="12.75" customHeight="1">
      <c r="A10" s="311">
        <f>+'1.CDP'!A10</f>
        <v>1.1601009999999998</v>
      </c>
      <c r="B10" s="163" t="str">
        <f>+'1.CDP'!B10</f>
        <v>TRABAJOS PRELIMINARES</v>
      </c>
      <c r="C10" s="166"/>
      <c r="D10" s="25"/>
    </row>
    <row r="11" spans="1:6" s="69" customFormat="1" ht="12.75" customHeight="1">
      <c r="A11" s="312">
        <f>+'1.CDP'!A11</f>
        <v>1.1601010099999998</v>
      </c>
      <c r="B11" s="165" t="str">
        <f>+'1.CDP'!B11</f>
        <v>Demolicion de losa  Aligerada</v>
      </c>
      <c r="C11" s="166" t="str">
        <f>+'1.CDP'!D11</f>
        <v>m3</v>
      </c>
      <c r="D11" s="25">
        <f>+'1.CDP'!L11</f>
        <v>6.4268749999999999</v>
      </c>
    </row>
    <row r="12" spans="1:6" s="69" customFormat="1" ht="12.75" customHeight="1">
      <c r="A12" s="312">
        <f>+'1.CDP'!A13</f>
        <v>1.1601010199999997</v>
      </c>
      <c r="B12" s="165" t="str">
        <f>+'1.CDP'!B13</f>
        <v>Demolicion de muros de albañileria</v>
      </c>
      <c r="C12" s="166" t="str">
        <f>+'1.CDP'!D13</f>
        <v>m3</v>
      </c>
      <c r="D12" s="25">
        <f>+'1.CDP'!L13</f>
        <v>5.4824999999999999</v>
      </c>
    </row>
    <row r="13" spans="1:6" s="69" customFormat="1" ht="12.75" customHeight="1">
      <c r="A13" s="312">
        <f>+'1.CDP'!A16</f>
        <v>1.1601010299999996</v>
      </c>
      <c r="B13" s="165" t="str">
        <f>+'1.CDP'!B16</f>
        <v>Demolicion de losa maciza</v>
      </c>
      <c r="C13" s="166" t="str">
        <f>+'1.CDP'!D16</f>
        <v>m3</v>
      </c>
      <c r="D13" s="25">
        <f>+'1.CDP'!L16</f>
        <v>5.1415000000000006</v>
      </c>
    </row>
    <row r="14" spans="1:6" s="69" customFormat="1" ht="12.75" customHeight="1">
      <c r="A14" s="312">
        <f>+'1.CDP'!A18</f>
        <v>1.1601010399999996</v>
      </c>
      <c r="B14" s="165" t="str">
        <f>+'1.CDP'!B18</f>
        <v>Demolicion de muros reforzados</v>
      </c>
      <c r="C14" s="166" t="str">
        <f>+'1.CDP'!D18</f>
        <v>m3</v>
      </c>
      <c r="D14" s="25">
        <f>+'1.CDP'!L18</f>
        <v>8.6625000000000014</v>
      </c>
    </row>
    <row r="15" spans="1:6" s="69" customFormat="1" ht="12.75" customHeight="1">
      <c r="A15" s="312">
        <f>+'1.CDP'!A21</f>
        <v>1.1601010499999995</v>
      </c>
      <c r="B15" s="165" t="str">
        <f>+'1.CDP'!B21</f>
        <v>Demolicion de losa maciza</v>
      </c>
      <c r="C15" s="166" t="str">
        <f>+'1.CDP'!D21</f>
        <v>m3</v>
      </c>
      <c r="D15" s="25">
        <f>+'1.CDP'!L21</f>
        <v>2.9600000000000004</v>
      </c>
    </row>
    <row r="16" spans="1:6" s="69" customFormat="1" ht="12.75" customHeight="1">
      <c r="A16" s="312">
        <f>+'1.CDP'!A23</f>
        <v>1.1601010599999995</v>
      </c>
      <c r="B16" s="165" t="str">
        <f>+'1.CDP'!B23</f>
        <v>Eliminación desmonte por demoliciones</v>
      </c>
      <c r="C16" s="166" t="str">
        <f>+'1.CDP'!D23</f>
        <v>m3</v>
      </c>
      <c r="D16" s="25">
        <f>+'1.CDP'!L23</f>
        <v>28.673375000000004</v>
      </c>
    </row>
    <row r="17" spans="1:4" s="70" customFormat="1" ht="12.75" customHeight="1">
      <c r="A17" s="311">
        <f>+'1.CDP'!A25</f>
        <v>1.1601019999999997</v>
      </c>
      <c r="B17" s="163" t="str">
        <f>+'1.CDP'!B25</f>
        <v>OBRAS PROVISIONALES</v>
      </c>
      <c r="C17" s="166"/>
      <c r="D17" s="25"/>
    </row>
    <row r="18" spans="1:4" s="70" customFormat="1" ht="12.75" customHeight="1">
      <c r="A18" s="312">
        <f>+'1.CDP'!A26</f>
        <v>1.1601020099999997</v>
      </c>
      <c r="B18" s="165" t="str">
        <f>+'1.CDP'!B26</f>
        <v>Trazo y replanteo inicial para camara</v>
      </c>
      <c r="C18" s="166" t="str">
        <f>+'1.CDP'!D26</f>
        <v>und</v>
      </c>
      <c r="D18" s="25">
        <f>+'1.CDP'!L26</f>
        <v>1</v>
      </c>
    </row>
    <row r="19" spans="1:4" s="70" customFormat="1" ht="12.75" customHeight="1">
      <c r="A19" s="312">
        <f>+'1.CDP'!A27</f>
        <v>1.1601020199999996</v>
      </c>
      <c r="B19" s="165" t="str">
        <f>+'1.CDP'!B27</f>
        <v>Replanteo final de obra de camara</v>
      </c>
      <c r="C19" s="166" t="str">
        <f>+'1.CDP'!D27</f>
        <v>und</v>
      </c>
      <c r="D19" s="25">
        <f>+'1.CDP'!L27</f>
        <v>1</v>
      </c>
    </row>
    <row r="20" spans="1:4" s="69" customFormat="1" ht="12.75" customHeight="1">
      <c r="A20" s="311">
        <f>+'1.CDP'!A28</f>
        <v>1.1601029999999997</v>
      </c>
      <c r="B20" s="163" t="str">
        <f>+'1.CDP'!B28</f>
        <v>MOVIMIENTO DE TIERRAS</v>
      </c>
      <c r="C20" s="166"/>
      <c r="D20" s="25"/>
    </row>
    <row r="21" spans="1:4" s="70" customFormat="1" ht="12.75" customHeight="1">
      <c r="A21" s="312">
        <f>+'1.CDP'!A29</f>
        <v>1.1601030099999996</v>
      </c>
      <c r="B21" s="165" t="str">
        <f>+'1.CDP'!B29</f>
        <v>Excavacion en T. normal, p/construcciòn de caisson</v>
      </c>
      <c r="C21" s="166" t="str">
        <f>+'1.CDP'!D29</f>
        <v>m3</v>
      </c>
      <c r="D21" s="25">
        <f>+'1.CDP'!L29</f>
        <v>66.083500000000001</v>
      </c>
    </row>
    <row r="22" spans="1:4" s="69" customFormat="1" ht="12.75" customHeight="1">
      <c r="A22" s="312">
        <f>+'1.CDP'!A31</f>
        <v>1.1601030199999995</v>
      </c>
      <c r="B22" s="165" t="str">
        <f>+'1.CDP'!B31</f>
        <v>Refine, nivelación y compactacion. en terreno rocoso</v>
      </c>
      <c r="C22" s="166" t="str">
        <f>+'1.CDP'!D31</f>
        <v>m2</v>
      </c>
      <c r="D22" s="25">
        <f>+'1.CDP'!L31</f>
        <v>7.07</v>
      </c>
    </row>
    <row r="23" spans="1:4" s="72" customFormat="1" ht="12.75" customHeight="1">
      <c r="A23" s="312">
        <f>+'1.CDP'!A33</f>
        <v>1.1601030299999995</v>
      </c>
      <c r="B23" s="165" t="str">
        <f>+'1.CDP'!B33</f>
        <v>Eliminacion desmonte D=10km t. normal</v>
      </c>
      <c r="C23" s="166" t="str">
        <f>+'1.CDP'!D33</f>
        <v>m3</v>
      </c>
      <c r="D23" s="25">
        <f>+'1.CDP'!L33</f>
        <v>85.908550000000005</v>
      </c>
    </row>
    <row r="24" spans="1:4" s="71" customFormat="1" ht="12.75" customHeight="1">
      <c r="A24" s="311">
        <f>+'1.CDP'!A35</f>
        <v>1.1601039999999996</v>
      </c>
      <c r="B24" s="163" t="str">
        <f>+'1.CDP'!B35</f>
        <v>CONCRETO SIMPLE</v>
      </c>
      <c r="C24" s="166"/>
      <c r="D24" s="25"/>
    </row>
    <row r="25" spans="1:4" s="73" customFormat="1" ht="12.75" customHeight="1">
      <c r="A25" s="312">
        <f>+'1.CDP'!A36</f>
        <v>1.1601040099999995</v>
      </c>
      <c r="B25" s="165" t="str">
        <f>+'1.CDP'!B36</f>
        <v>Concreto f'c 140 kg/cm2 +30%PG para relleno</v>
      </c>
      <c r="C25" s="166" t="str">
        <f>+'1.CDP'!D36</f>
        <v>m3</v>
      </c>
      <c r="D25" s="25">
        <f>+'1.CDP'!L36</f>
        <v>7.6754999999999995</v>
      </c>
    </row>
    <row r="26" spans="1:4" s="73" customFormat="1" ht="12.75" customHeight="1">
      <c r="A26" s="311">
        <f>+'1.CDP'!A38</f>
        <v>1.1601049999999995</v>
      </c>
      <c r="B26" s="163" t="str">
        <f>+'1.CDP'!B38</f>
        <v>OBRAS DE CONCRETO ARMADO</v>
      </c>
      <c r="C26" s="166"/>
      <c r="D26" s="25"/>
    </row>
    <row r="27" spans="1:4" s="73" customFormat="1" ht="12.75" customHeight="1">
      <c r="A27" s="312">
        <f>+'1.CDP'!A39</f>
        <v>1.1601050099999994</v>
      </c>
      <c r="B27" s="165" t="str">
        <f>+'1.CDP'!B39</f>
        <v>Concreto f'c=350kg/cm2 p/cuchilla en caisson (cemento tipo V)</v>
      </c>
      <c r="C27" s="166" t="str">
        <f>+'1.CDP'!D39</f>
        <v>m3</v>
      </c>
      <c r="D27" s="25">
        <f>+'1.CDP'!L39</f>
        <v>8.1037572000000004</v>
      </c>
    </row>
    <row r="28" spans="1:4" s="73" customFormat="1" ht="12.75" customHeight="1">
      <c r="A28" s="312">
        <f>+'1.CDP'!A41</f>
        <v>1.1601050199999994</v>
      </c>
      <c r="B28" s="165" t="str">
        <f>+'1.CDP'!B41</f>
        <v>Encofrado y Desencofrado (Incl. Habilitación de madera) para losas de fondo piso</v>
      </c>
      <c r="C28" s="166" t="str">
        <f>+'1.CDP'!D41</f>
        <v>m2</v>
      </c>
      <c r="D28" s="25">
        <f>+'1.CDP'!L41</f>
        <v>44.307555600000001</v>
      </c>
    </row>
    <row r="29" spans="1:4" s="73" customFormat="1" ht="12.75" customHeight="1">
      <c r="A29" s="312">
        <f>+'1.CDP'!A45</f>
        <v>1.1601050399999993</v>
      </c>
      <c r="B29" s="165" t="str">
        <f>+'1.CDP'!B45</f>
        <v>Acero estruc. trabajado p/cuchilla</v>
      </c>
      <c r="C29" s="166" t="str">
        <f>+'1.CDP'!D45</f>
        <v>kg</v>
      </c>
      <c r="D29" s="25">
        <f>+'1.CDP'!L45</f>
        <v>195.90700000000001</v>
      </c>
    </row>
    <row r="30" spans="1:4" s="73" customFormat="1" ht="12.75" customHeight="1">
      <c r="A30" s="312">
        <f>+'1.CDP'!A47</f>
        <v>1.1601050499999992</v>
      </c>
      <c r="B30" s="165" t="str">
        <f>+'1.CDP'!B47</f>
        <v>Concreto f'c=350kg/cm2 p/losas de fondo (cemento tipo V)</v>
      </c>
      <c r="C30" s="166" t="str">
        <f>+'1.CDP'!D47</f>
        <v>m3</v>
      </c>
      <c r="D30" s="25">
        <f>+'1.CDP'!L47</f>
        <v>2.1929999999999996</v>
      </c>
    </row>
    <row r="31" spans="1:4" s="73" customFormat="1" ht="12.75" customHeight="1">
      <c r="A31" s="312">
        <f>+'1.CDP'!A49</f>
        <v>1.1601050599999991</v>
      </c>
      <c r="B31" s="165" t="str">
        <f>+'1.CDP'!B49</f>
        <v>Acero estruc. trabajado p/losas de fondo piso</v>
      </c>
      <c r="C31" s="166" t="str">
        <f>+'1.CDP'!D49</f>
        <v>kg</v>
      </c>
      <c r="D31" s="25">
        <f>+'1.CDP'!L49</f>
        <v>165.84479999999999</v>
      </c>
    </row>
    <row r="32" spans="1:4" s="73" customFormat="1" ht="12.75" customHeight="1">
      <c r="A32" s="312">
        <f>+'1.CDP'!A51</f>
        <v>1.1601050699999991</v>
      </c>
      <c r="B32" s="165" t="str">
        <f>+'1.CDP'!B51</f>
        <v>Concreto f'c=350kg/cm2 p/muro (Cemento P-V)</v>
      </c>
      <c r="C32" s="166" t="str">
        <f>+'1.CDP'!D51</f>
        <v>m3</v>
      </c>
      <c r="D32" s="25">
        <f>+'1.CDP'!L51</f>
        <v>18.127309999999998</v>
      </c>
    </row>
    <row r="33" spans="1:4" s="73" customFormat="1" ht="12.75" customHeight="1">
      <c r="A33" s="312">
        <f>+'1.CDP'!A55</f>
        <v>1.160105079999999</v>
      </c>
      <c r="B33" s="165" t="str">
        <f>+'1.CDP'!B55</f>
        <v>Encofrado y Desencofrado (Incl. Habilitación de madera) p/muro</v>
      </c>
      <c r="C33" s="166" t="str">
        <f>+'1.CDP'!D55</f>
        <v>m2</v>
      </c>
      <c r="D33" s="25">
        <f>+'1.CDP'!L55</f>
        <v>117.83420000000001</v>
      </c>
    </row>
    <row r="34" spans="1:4" s="73" customFormat="1" ht="12.75" customHeight="1">
      <c r="A34" s="312">
        <f>+'1.CDP'!A60</f>
        <v>1.160105089999999</v>
      </c>
      <c r="B34" s="165" t="str">
        <f>+'1.CDP'!B60</f>
        <v>Acero estruc. trabajado p/muros</v>
      </c>
      <c r="C34" s="166" t="str">
        <f>+'1.CDP'!D60</f>
        <v>kg</v>
      </c>
      <c r="D34" s="25">
        <f>+'1.CDP'!L60</f>
        <v>1106.4987999999998</v>
      </c>
    </row>
    <row r="35" spans="1:4" s="73" customFormat="1" ht="12.75" customHeight="1">
      <c r="A35" s="312">
        <f>+'1.CDP'!A62</f>
        <v>1.1601050999999989</v>
      </c>
      <c r="B35" s="165" t="str">
        <f>+'1.CDP'!B62</f>
        <v>Concreto f'c=350kg/cm2  p/losa maciza (Cemento P-V)</v>
      </c>
      <c r="C35" s="166" t="str">
        <f>+'1.CDP'!D62</f>
        <v>m3</v>
      </c>
      <c r="D35" s="25">
        <f>+'1.CDP'!L62</f>
        <v>1.9059999999999997</v>
      </c>
    </row>
    <row r="36" spans="1:4" s="73" customFormat="1" ht="12.75" customHeight="1">
      <c r="A36" s="312">
        <f>+'1.CDP'!A66</f>
        <v>1.1601051099999988</v>
      </c>
      <c r="B36" s="165" t="str">
        <f>+'1.CDP'!B66</f>
        <v>Encofrado y Desencofrado (Incl. Habilitación de madera) para losa maciza</v>
      </c>
      <c r="C36" s="166" t="str">
        <f>+'1.CDP'!D66</f>
        <v>m2</v>
      </c>
      <c r="D36" s="25">
        <f>+'1.CDP'!L66</f>
        <v>14.536</v>
      </c>
    </row>
    <row r="37" spans="1:4" s="73" customFormat="1" ht="12.75" customHeight="1">
      <c r="A37" s="312">
        <f>+'1.CDP'!A71</f>
        <v>1.1601051199999988</v>
      </c>
      <c r="B37" s="165" t="str">
        <f>+'1.CDP'!B71</f>
        <v>Acero estruc. trabajado p/losa maciza (costo prom. incl. Desperdicios)</v>
      </c>
      <c r="C37" s="166" t="str">
        <f>+'1.CDP'!D71</f>
        <v>kg</v>
      </c>
      <c r="D37" s="25">
        <f>+'1.CDP'!L71</f>
        <v>214.1568</v>
      </c>
    </row>
    <row r="38" spans="1:4" s="73" customFormat="1" ht="12.75" customHeight="1">
      <c r="A38" s="311">
        <f>+'1.CDP'!A73</f>
        <v>1.1601059999999994</v>
      </c>
      <c r="B38" s="163" t="str">
        <f>+'1.CDP'!B73</f>
        <v>TRATAMIENTO INTERIOR</v>
      </c>
      <c r="C38" s="166"/>
      <c r="D38" s="25"/>
    </row>
    <row r="39" spans="1:4" s="73" customFormat="1" ht="12.75" customHeight="1">
      <c r="A39" s="312">
        <f>+'1.CDP'!A74</f>
        <v>1.1601060099999994</v>
      </c>
      <c r="B39" s="165" t="str">
        <f>+'1.CDP'!B74</f>
        <v>Tarrajeo de losa fondo piso con impermeabilizante</v>
      </c>
      <c r="C39" s="166" t="str">
        <f>+'1.CDP'!D74</f>
        <v>m2</v>
      </c>
      <c r="D39" s="25">
        <f>+'1.CDP'!L74</f>
        <v>6.35</v>
      </c>
    </row>
    <row r="40" spans="1:4" s="73" customFormat="1" ht="12.75" customHeight="1">
      <c r="A40" s="312">
        <f>+'1.CDP'!A76</f>
        <v>1.1601060199999993</v>
      </c>
      <c r="B40" s="165" t="str">
        <f>+'1.CDP'!B76</f>
        <v>Tarrajeo de muros con impermeabilizante</v>
      </c>
      <c r="C40" s="166" t="str">
        <f>+'1.CDP'!D76</f>
        <v>m2</v>
      </c>
      <c r="D40" s="25">
        <f>+'1.CDP'!L76</f>
        <v>63.391199999999998</v>
      </c>
    </row>
    <row r="41" spans="1:4" s="73" customFormat="1" ht="12.75" customHeight="1">
      <c r="A41" s="312">
        <f>+'1.CDP'!A79</f>
        <v>1.1601060299999992</v>
      </c>
      <c r="B41" s="165" t="str">
        <f>+'1.CDP'!B79</f>
        <v>Tarrajeo de cielorasos  con impermeabilizante</v>
      </c>
      <c r="C41" s="166" t="str">
        <f>+'1.CDP'!D79</f>
        <v>m2</v>
      </c>
      <c r="D41" s="25">
        <f>+'1.CDP'!L79</f>
        <v>5.13</v>
      </c>
    </row>
    <row r="42" spans="1:4" s="73" customFormat="1" ht="12.75" customHeight="1">
      <c r="A42" s="311">
        <f>+'1.CDP'!A83</f>
        <v>1.1601069999999993</v>
      </c>
      <c r="B42" s="163" t="str">
        <f>+'1.CDP'!B83</f>
        <v>VARIOS</v>
      </c>
      <c r="C42" s="166"/>
      <c r="D42" s="25"/>
    </row>
    <row r="43" spans="1:4" s="73" customFormat="1" ht="12.75" customHeight="1">
      <c r="A43" s="312">
        <f>+'1.CDP'!A84</f>
        <v>1.1601070099999993</v>
      </c>
      <c r="B43" s="165" t="str">
        <f>+'1.CDP'!B84</f>
        <v>Marco y tapa de fibra de vidrio  0.6x0.6m, con mecanismo de seguridad según especificación</v>
      </c>
      <c r="C43" s="166" t="str">
        <f>+'1.CDP'!D84</f>
        <v>und</v>
      </c>
      <c r="D43" s="25">
        <f>+'1.CDP'!L84</f>
        <v>4</v>
      </c>
    </row>
    <row r="44" spans="1:4" s="73" customFormat="1" ht="12.75" customHeight="1">
      <c r="A44" s="312">
        <f>+'1.CDP'!A85</f>
        <v>1.1601070199999992</v>
      </c>
      <c r="B44" s="165" t="str">
        <f>+'1.CDP'!B85</f>
        <v>Escalera de fibra de vidrio tipo marinera</v>
      </c>
      <c r="C44" s="166" t="str">
        <f>+'1.CDP'!D85</f>
        <v>m</v>
      </c>
      <c r="D44" s="25">
        <f>+'1.CDP'!L85</f>
        <v>4.53</v>
      </c>
    </row>
    <row r="45" spans="1:4" s="73" customFormat="1" ht="12.75" customHeight="1">
      <c r="A45" s="312">
        <f>+'1.CDP'!A86</f>
        <v>1.1601070299999992</v>
      </c>
      <c r="B45" s="165" t="str">
        <f>+'1.CDP'!B86</f>
        <v>Prueba de calidad del concreto (prueba a la compresión)</v>
      </c>
      <c r="C45" s="166" t="str">
        <f>+'1.CDP'!D86</f>
        <v>und</v>
      </c>
      <c r="D45" s="25">
        <f>+'1.CDP'!L86</f>
        <v>11</v>
      </c>
    </row>
    <row r="46" spans="1:4" s="73" customFormat="1" ht="12.75" customHeight="1">
      <c r="A46" s="311">
        <f>+'2.caseta de valvulas'!A8</f>
        <v>1.1601999999999999</v>
      </c>
      <c r="B46" s="163" t="str">
        <f>+'2.caseta de valvulas'!B8</f>
        <v>CASETA DE VALVULAS - GRUPO ELECTROGENO - TABLERO - CUARTO DEL OPERADOR - BAÑO</v>
      </c>
      <c r="C46" s="166"/>
      <c r="D46" s="25"/>
    </row>
    <row r="47" spans="1:4" s="73" customFormat="1" ht="12.75" customHeight="1">
      <c r="A47" s="311">
        <f>+'2.caseta de valvulas'!A9</f>
        <v>1.1602009999999998</v>
      </c>
      <c r="B47" s="163" t="str">
        <f>+'2.caseta de valvulas'!B9</f>
        <v>TRABAJOS PRELIMINARES</v>
      </c>
      <c r="C47" s="166"/>
      <c r="D47" s="25"/>
    </row>
    <row r="48" spans="1:4" s="73" customFormat="1" ht="12.75" customHeight="1">
      <c r="A48" s="312">
        <f>+'2.caseta de valvulas'!A10</f>
        <v>1.1602010099999998</v>
      </c>
      <c r="B48" s="165" t="str">
        <f>+'2.caseta de valvulas'!B10</f>
        <v>Demolicion de muro de piedra</v>
      </c>
      <c r="C48" s="166" t="str">
        <f>+'2.caseta de valvulas'!D10</f>
        <v>m3</v>
      </c>
      <c r="D48" s="25">
        <f>+'2.caseta de valvulas'!L10</f>
        <v>13.655249999999999</v>
      </c>
    </row>
    <row r="49" spans="1:4" s="73" customFormat="1" ht="12.75" customHeight="1">
      <c r="A49" s="312">
        <f>+'2.caseta de valvulas'!A12</f>
        <v>1.1602010199999997</v>
      </c>
      <c r="B49" s="165" t="str">
        <f>+'2.caseta de valvulas'!B12</f>
        <v>Demolicion de piso de concreto</v>
      </c>
      <c r="C49" s="166" t="str">
        <f>+'2.caseta de valvulas'!D12</f>
        <v>m3</v>
      </c>
      <c r="D49" s="25">
        <f>+'2.caseta de valvulas'!L12</f>
        <v>4.32</v>
      </c>
    </row>
    <row r="50" spans="1:4" s="73" customFormat="1" ht="12.75" customHeight="1">
      <c r="A50" s="312">
        <f>+'2.caseta de valvulas'!A15</f>
        <v>1.1602010299999996</v>
      </c>
      <c r="B50" s="165" t="str">
        <f>+'2.caseta de valvulas'!B15</f>
        <v>Eliminación desmonte por demoliciones</v>
      </c>
      <c r="C50" s="166" t="str">
        <f>+'2.caseta de valvulas'!D15</f>
        <v>m3</v>
      </c>
      <c r="D50" s="25">
        <f>+'2.caseta de valvulas'!L15</f>
        <v>17.975249999999999</v>
      </c>
    </row>
    <row r="51" spans="1:4" s="73" customFormat="1" ht="12.75" customHeight="1">
      <c r="A51" s="311">
        <f>+'2.caseta de valvulas'!A17</f>
        <v>1.1602019999999997</v>
      </c>
      <c r="B51" s="163" t="str">
        <f>+'2.caseta de valvulas'!B17</f>
        <v>OBRAS PROVISIONALES</v>
      </c>
      <c r="C51" s="166"/>
      <c r="D51" s="25"/>
    </row>
    <row r="52" spans="1:4" s="73" customFormat="1" ht="12.75" customHeight="1">
      <c r="A52" s="312">
        <f>+'2.caseta de valvulas'!A18</f>
        <v>1.1602020099999997</v>
      </c>
      <c r="B52" s="165" t="str">
        <f>+'2.caseta de valvulas'!B18</f>
        <v xml:space="preserve">Trazo y replanteo inicial </v>
      </c>
      <c r="C52" s="166" t="str">
        <f>+'2.caseta de valvulas'!D18</f>
        <v>und</v>
      </c>
      <c r="D52" s="25">
        <f>+'2.caseta de valvulas'!L18</f>
        <v>104.54</v>
      </c>
    </row>
    <row r="53" spans="1:4" s="73" customFormat="1" ht="12.75" customHeight="1">
      <c r="A53" s="312">
        <f>+'2.caseta de valvulas'!A20</f>
        <v>1.1602020199999996</v>
      </c>
      <c r="B53" s="165" t="str">
        <f>+'2.caseta de valvulas'!B20</f>
        <v xml:space="preserve">Replanteo final de obra </v>
      </c>
      <c r="C53" s="166" t="str">
        <f>+'2.caseta de valvulas'!D20</f>
        <v>und</v>
      </c>
      <c r="D53" s="25">
        <f>+'2.caseta de valvulas'!L20</f>
        <v>104.54</v>
      </c>
    </row>
    <row r="54" spans="1:4" s="73" customFormat="1" ht="12.75" customHeight="1">
      <c r="A54" s="311">
        <f>+'2.caseta de valvulas'!A22</f>
        <v>1.1602029999999997</v>
      </c>
      <c r="B54" s="163" t="str">
        <f>+'2.caseta de valvulas'!B22</f>
        <v>MOVIMIENTO DE TIERRAS</v>
      </c>
      <c r="C54" s="166"/>
      <c r="D54" s="25"/>
    </row>
    <row r="55" spans="1:4" s="73" customFormat="1" ht="12.75" customHeight="1">
      <c r="A55" s="312">
        <f>+'2.caseta de valvulas'!A23</f>
        <v>1.1602030099999996</v>
      </c>
      <c r="B55" s="165" t="str">
        <f>+'2.caseta de valvulas'!B23</f>
        <v>Excavacion en T. normal c/maquinaria</v>
      </c>
      <c r="C55" s="166" t="str">
        <f>+'2.caseta de valvulas'!D23</f>
        <v>m3</v>
      </c>
      <c r="D55" s="25">
        <f>+'2.caseta de valvulas'!L23</f>
        <v>234.16579999999999</v>
      </c>
    </row>
    <row r="56" spans="1:4" s="73" customFormat="1" ht="12.75" customHeight="1">
      <c r="A56" s="312">
        <f>+'2.caseta de valvulas'!A29</f>
        <v>1.1602030199999995</v>
      </c>
      <c r="B56" s="165" t="str">
        <f>+'2.caseta de valvulas'!B29</f>
        <v xml:space="preserve">Refine, nivelación y compactacion. en terreno normal </v>
      </c>
      <c r="C56" s="166" t="str">
        <f>+'2.caseta de valvulas'!D29</f>
        <v>m2</v>
      </c>
      <c r="D56" s="25">
        <f>+'2.caseta de valvulas'!L29</f>
        <v>123.83000000000001</v>
      </c>
    </row>
    <row r="57" spans="1:4" s="73" customFormat="1" ht="12.75" customHeight="1">
      <c r="A57" s="312">
        <f>+'2.caseta de valvulas'!A33</f>
        <v>1.1602030299999995</v>
      </c>
      <c r="B57" s="165" t="str">
        <f>+'2.caseta de valvulas'!B33</f>
        <v>Relleno con material propio</v>
      </c>
      <c r="C57" s="166" t="str">
        <f>+'2.caseta de valvulas'!D33</f>
        <v>m3</v>
      </c>
      <c r="D57" s="25">
        <f>+'2.caseta de valvulas'!L33</f>
        <v>105.53400000000001</v>
      </c>
    </row>
    <row r="58" spans="1:4" s="73" customFormat="1" ht="12.75" customHeight="1">
      <c r="A58" s="312">
        <f>+'2.caseta de valvulas'!A35</f>
        <v>1.1602030399999994</v>
      </c>
      <c r="B58" s="165" t="str">
        <f>+'2.caseta de valvulas'!B35</f>
        <v>Eliminacion desmonte D=10km t. normal</v>
      </c>
      <c r="C58" s="166" t="str">
        <f>+'2.caseta de valvulas'!D35</f>
        <v>m3</v>
      </c>
      <c r="D58" s="25">
        <f>+'2.caseta de valvulas'!L35</f>
        <v>167.22134</v>
      </c>
    </row>
    <row r="59" spans="1:4" s="74" customFormat="1" ht="12.75" customHeight="1">
      <c r="A59" s="311">
        <f>+'2.caseta de valvulas'!A38</f>
        <v>1.1602039999999996</v>
      </c>
      <c r="B59" s="163" t="str">
        <f>+'2.caseta de valvulas'!B38</f>
        <v>CONCRETO SIMPLE</v>
      </c>
      <c r="C59" s="166"/>
      <c r="D59" s="25"/>
    </row>
    <row r="60" spans="1:4" s="73" customFormat="1" ht="12.75" customHeight="1">
      <c r="A60" s="312">
        <f>+'2.caseta de valvulas'!A39</f>
        <v>1.1602040099999995</v>
      </c>
      <c r="B60" s="165" t="str">
        <f>+'2.caseta de valvulas'!B39</f>
        <v>Concreto f'c 100 kg/cm2 para solados (Cemento P-V)</v>
      </c>
      <c r="C60" s="166" t="str">
        <f>+'2.caseta de valvulas'!D39</f>
        <v>m3</v>
      </c>
      <c r="D60" s="25">
        <f>+'2.caseta de valvulas'!L39</f>
        <v>8.6250000000000018</v>
      </c>
    </row>
    <row r="61" spans="1:4" s="73" customFormat="1" ht="12.75" customHeight="1">
      <c r="A61" s="311">
        <f>+'2.caseta de valvulas'!A44</f>
        <v>1.1602049999999995</v>
      </c>
      <c r="B61" s="163" t="str">
        <f>+'2.caseta de valvulas'!B44</f>
        <v>OBRAS DE CONCRETO ARMADO</v>
      </c>
      <c r="C61" s="166"/>
      <c r="D61" s="25"/>
    </row>
    <row r="62" spans="1:4" s="73" customFormat="1" ht="12.75" customHeight="1">
      <c r="A62" s="312">
        <f>+'2.caseta de valvulas'!A45</f>
        <v>1.1602050099999994</v>
      </c>
      <c r="B62" s="165" t="str">
        <f>+'2.caseta de valvulas'!B45</f>
        <v>Concreto f'c 350 kg/cm2 p/losa de cimentacion (Cemento P-V)</v>
      </c>
      <c r="C62" s="166" t="str">
        <f>+'2.caseta de valvulas'!D45</f>
        <v>m3</v>
      </c>
      <c r="D62" s="25">
        <f>+'2.caseta de valvulas'!L45</f>
        <v>33.341200000000001</v>
      </c>
    </row>
    <row r="63" spans="1:4" s="73" customFormat="1" ht="12.75" customHeight="1">
      <c r="A63" s="312">
        <f>+'2.caseta de valvulas'!A56</f>
        <v>1.1602050199999994</v>
      </c>
      <c r="B63" s="165" t="str">
        <f>+'2.caseta de valvulas'!B56</f>
        <v>Encofrado y Desencofrado (Incl. Habilit. Madera) p/losa de cimentacion</v>
      </c>
      <c r="C63" s="166" t="str">
        <f>+'2.caseta de valvulas'!D56</f>
        <v>m2</v>
      </c>
      <c r="D63" s="25">
        <f>+'2.caseta de valvulas'!L56</f>
        <v>43.577999999999996</v>
      </c>
    </row>
    <row r="64" spans="1:4" s="73" customFormat="1" ht="12.75" customHeight="1">
      <c r="A64" s="312">
        <f>+'2.caseta de valvulas'!A62</f>
        <v>1.1602050299999993</v>
      </c>
      <c r="B64" s="165" t="str">
        <f>+'2.caseta de valvulas'!B62</f>
        <v>Acero estruc. trabajado p/losa de cimentacion (costo prom. incl. Desperdicios)</v>
      </c>
      <c r="C64" s="166" t="str">
        <f>+'2.caseta de valvulas'!D62</f>
        <v>kg</v>
      </c>
      <c r="D64" s="25">
        <f>+'2.caseta de valvulas'!L62</f>
        <v>1871.6445000000001</v>
      </c>
    </row>
    <row r="65" spans="1:7" s="73" customFormat="1" ht="12.75" customHeight="1">
      <c r="A65" s="312">
        <f>+'2.caseta de valvulas'!A64</f>
        <v>1.1602050399999992</v>
      </c>
      <c r="B65" s="165" t="str">
        <f>+'2.caseta de valvulas'!B64</f>
        <v>Concreto f'c 350 kg/cm2  p/columnas (Cemento P-V)</v>
      </c>
      <c r="C65" s="166" t="str">
        <f>+'2.caseta de valvulas'!D64</f>
        <v>m3</v>
      </c>
      <c r="D65" s="25">
        <f>+'2.caseta de valvulas'!L64</f>
        <v>3.7106250000000003</v>
      </c>
    </row>
    <row r="66" spans="1:7" s="73" customFormat="1" ht="12.75" customHeight="1">
      <c r="A66" s="312">
        <f>+'2.caseta de valvulas'!A67</f>
        <v>1.1602050499999992</v>
      </c>
      <c r="B66" s="165" t="str">
        <f>+'2.caseta de valvulas'!B67</f>
        <v>Encofrado y Desencofrado (Incl. Habilit. Madera) p/columnas</v>
      </c>
      <c r="C66" s="166" t="str">
        <f>+'2.caseta de valvulas'!D67</f>
        <v>m2</v>
      </c>
      <c r="D66" s="25">
        <f>+'2.caseta de valvulas'!L67</f>
        <v>45.169999999999995</v>
      </c>
    </row>
    <row r="67" spans="1:7" s="73" customFormat="1" ht="12.75" customHeight="1">
      <c r="A67" s="312">
        <f>+'2.caseta de valvulas'!A70</f>
        <v>1.1602050599999991</v>
      </c>
      <c r="B67" s="165" t="str">
        <f>+'2.caseta de valvulas'!B70</f>
        <v>Acero estruc. trabajado p/columnas (costo prom. incl. Desperdicios)</v>
      </c>
      <c r="C67" s="166" t="str">
        <f>+'2.caseta de valvulas'!D70</f>
        <v>kg</v>
      </c>
      <c r="D67" s="25">
        <f>+'2.caseta de valvulas'!L70</f>
        <v>1135.5940000000001</v>
      </c>
    </row>
    <row r="68" spans="1:7" s="73" customFormat="1" ht="12.75" customHeight="1">
      <c r="A68" s="312">
        <f>+'2.caseta de valvulas'!A72</f>
        <v>1.1602050699999991</v>
      </c>
      <c r="B68" s="165" t="str">
        <f>+'2.caseta de valvulas'!B72</f>
        <v>Concreto f'c 350 kg/cm2  p/muros reforzados (Cemento P-V)</v>
      </c>
      <c r="C68" s="166" t="str">
        <f>+'2.caseta de valvulas'!D72</f>
        <v>m3</v>
      </c>
      <c r="D68" s="25">
        <f>+'2.caseta de valvulas'!L72</f>
        <v>32.467749999999995</v>
      </c>
    </row>
    <row r="69" spans="1:7" s="73" customFormat="1" ht="12.75" customHeight="1">
      <c r="A69" s="312">
        <f>+'2.caseta de valvulas'!A83</f>
        <v>1.160205079999999</v>
      </c>
      <c r="B69" s="165" t="str">
        <f>+'2.caseta de valvulas'!B83</f>
        <v>Encofrado y Desencofrado (Incl. Habilit. Madera) p/muros reforzados</v>
      </c>
      <c r="C69" s="166" t="str">
        <f>+'2.caseta de valvulas'!D83</f>
        <v>m2</v>
      </c>
      <c r="D69" s="25">
        <f>+'2.caseta de valvulas'!L83</f>
        <v>273.29000000000002</v>
      </c>
    </row>
    <row r="70" spans="1:7" s="73" customFormat="1" ht="12.75" customHeight="1">
      <c r="A70" s="312">
        <f>+'2.caseta de valvulas'!A92</f>
        <v>1.1602050899999989</v>
      </c>
      <c r="B70" s="165" t="str">
        <f>+'2.caseta de valvulas'!B92</f>
        <v>Acero estruc. trabajado p/muros reforzados (costo prom. incl. Desperdicios)</v>
      </c>
      <c r="C70" s="166" t="str">
        <f>+'2.caseta de valvulas'!D92</f>
        <v>kg</v>
      </c>
      <c r="D70" s="25">
        <f>+'2.caseta de valvulas'!L92</f>
        <v>2891.7221999999997</v>
      </c>
    </row>
    <row r="71" spans="1:7" s="73" customFormat="1" ht="12.75" customHeight="1">
      <c r="A71" s="312">
        <f>+'2.caseta de valvulas'!A94</f>
        <v>1.1602050999999989</v>
      </c>
      <c r="B71" s="165" t="str">
        <f>+'2.caseta de valvulas'!B94</f>
        <v>Concreto f'c 350 kg/cm2 p/vigas rectas (Cemento P-V)</v>
      </c>
      <c r="C71" s="166" t="str">
        <f>+'2.caseta de valvulas'!D94</f>
        <v>m3</v>
      </c>
      <c r="D71" s="25">
        <f>+'2.caseta de valvulas'!L94</f>
        <v>6.5</v>
      </c>
    </row>
    <row r="72" spans="1:7" s="73" customFormat="1" ht="12.75" customHeight="1">
      <c r="A72" s="312">
        <f>+'2.caseta de valvulas'!A97</f>
        <v>1.1602051099999988</v>
      </c>
      <c r="B72" s="165" t="str">
        <f>+'2.caseta de valvulas'!B97</f>
        <v>Encofrado y Desencofrado (Incl. Habilit. Madera) p/vigas rectas y curvos</v>
      </c>
      <c r="C72" s="166" t="str">
        <f>+'2.caseta de valvulas'!D97</f>
        <v>m2</v>
      </c>
      <c r="D72" s="25">
        <f>+'2.caseta de valvulas'!L97</f>
        <v>66.875</v>
      </c>
    </row>
    <row r="73" spans="1:7" s="73" customFormat="1" ht="12.75" customHeight="1">
      <c r="A73" s="312">
        <f>+'2.caseta de valvulas'!A100</f>
        <v>1.1602051199999988</v>
      </c>
      <c r="B73" s="165" t="str">
        <f>+'2.caseta de valvulas'!B100</f>
        <v>Acero estruc. trabajado p/vigas rectas (costo prom. incl. Desperdicios)</v>
      </c>
      <c r="C73" s="166" t="str">
        <f>+'2.caseta de valvulas'!D100</f>
        <v>kg</v>
      </c>
      <c r="D73" s="25">
        <f>+'2.caseta de valvulas'!L100</f>
        <v>871.74600000000009</v>
      </c>
    </row>
    <row r="74" spans="1:7" s="73" customFormat="1" ht="12.75" customHeight="1">
      <c r="A74" s="312">
        <f>+'2.caseta de valvulas'!A102</f>
        <v>1.1602051299999987</v>
      </c>
      <c r="B74" s="165" t="str">
        <f>+'2.caseta de valvulas'!B102</f>
        <v>Concreto f'c 350 kg/cm2 p/losa maciza (Cemento P-V)</v>
      </c>
      <c r="C74" s="166" t="str">
        <f>+'2.caseta de valvulas'!D102</f>
        <v>m3</v>
      </c>
      <c r="D74" s="25">
        <f>+'2.caseta de valvulas'!L102</f>
        <v>17.745000000000005</v>
      </c>
    </row>
    <row r="75" spans="1:7" s="73" customFormat="1" ht="12.75" customHeight="1">
      <c r="A75" s="312">
        <f>+'2.caseta de valvulas'!A107</f>
        <v>1.1602051399999986</v>
      </c>
      <c r="B75" s="165" t="str">
        <f>+'2.caseta de valvulas'!B107</f>
        <v>Encofrado y Desencofrado (incl.hab. de madera)  p/losas maciza</v>
      </c>
      <c r="C75" s="166" t="str">
        <f>+'2.caseta de valvulas'!D107</f>
        <v>m2</v>
      </c>
      <c r="D75" s="25">
        <f>+'2.caseta de valvulas'!L107</f>
        <v>100.82500000000002</v>
      </c>
    </row>
    <row r="76" spans="1:7" s="73" customFormat="1" ht="12.75" customHeight="1">
      <c r="A76" s="312">
        <f>+'2.caseta de valvulas'!A113</f>
        <v>1.1602051499999986</v>
      </c>
      <c r="B76" s="165" t="str">
        <f>+'2.caseta de valvulas'!B113</f>
        <v>Acero estruc. trabajado p/losa maciza (costo prom. incl. Desperdicios)</v>
      </c>
      <c r="C76" s="166" t="str">
        <f>+'2.caseta de valvulas'!D113</f>
        <v>kg</v>
      </c>
      <c r="D76" s="25">
        <f>+'2.caseta de valvulas'!L113</f>
        <v>1298.8500000000001</v>
      </c>
      <c r="G76" s="73" t="s">
        <v>15</v>
      </c>
    </row>
    <row r="77" spans="1:7" s="73" customFormat="1" ht="12.75" customHeight="1">
      <c r="A77" s="312">
        <f>+'2.caseta de valvulas'!A115</f>
        <v>1.1602051599999985</v>
      </c>
      <c r="B77" s="165" t="str">
        <f>+'2.caseta de valvulas'!B115</f>
        <v>Concreto f'c 350 kg/cm2 p/escalera (Cemento P-V)</v>
      </c>
      <c r="C77" s="166" t="str">
        <f>+'2.caseta de valvulas'!D115</f>
        <v>m3</v>
      </c>
      <c r="D77" s="25">
        <f>+'2.caseta de valvulas'!L115</f>
        <v>1.2382</v>
      </c>
    </row>
    <row r="78" spans="1:7" s="73" customFormat="1" ht="12.75" customHeight="1">
      <c r="A78" s="312">
        <f>+'2.caseta de valvulas'!A119</f>
        <v>1.1602051699999985</v>
      </c>
      <c r="B78" s="165" t="str">
        <f>+'2.caseta de valvulas'!B119</f>
        <v>Encofrado y Desencofrado (incl.hab. de madera)  p/escalera</v>
      </c>
      <c r="C78" s="166" t="str">
        <f>+'2.caseta de valvulas'!D119</f>
        <v>m2</v>
      </c>
      <c r="D78" s="25">
        <f>+'2.caseta de valvulas'!L119</f>
        <v>4.7417999999999996</v>
      </c>
    </row>
    <row r="79" spans="1:7" s="73" customFormat="1" ht="12.75" customHeight="1">
      <c r="A79" s="312">
        <f>+'2.caseta de valvulas'!A124</f>
        <v>1.1602051799999984</v>
      </c>
      <c r="B79" s="165" t="str">
        <f>+'2.caseta de valvulas'!B124</f>
        <v>Acero estruc. trabajado p/escalera (costo prom. incl. Desperdicios)</v>
      </c>
      <c r="C79" s="166" t="str">
        <f>+'2.caseta de valvulas'!D124</f>
        <v>kg</v>
      </c>
      <c r="D79" s="25">
        <f>+'2.caseta de valvulas'!L124</f>
        <v>24.2712</v>
      </c>
    </row>
    <row r="80" spans="1:7" s="73" customFormat="1" ht="12.75" customHeight="1">
      <c r="A80" s="311">
        <f>+'2.caseta de valvulas'!A126</f>
        <v>1.1602059999999994</v>
      </c>
      <c r="B80" s="163" t="str">
        <f>+'2.caseta de valvulas'!B126</f>
        <v>MURO DE ALBAÑILERIA</v>
      </c>
      <c r="C80" s="166"/>
      <c r="D80" s="25"/>
    </row>
    <row r="81" spans="1:4" s="73" customFormat="1" ht="12.75" customHeight="1">
      <c r="A81" s="312">
        <f>+'2.caseta de valvulas'!A127</f>
        <v>1.1602060099999993</v>
      </c>
      <c r="B81" s="165" t="str">
        <f>+'2.caseta de valvulas'!B127</f>
        <v>Muros de ladrillo KK de arcilla de soga mortero 1:4 x 1.5 cms.</v>
      </c>
      <c r="C81" s="166" t="str">
        <f>+'2.caseta de valvulas'!D127</f>
        <v>m2</v>
      </c>
      <c r="D81" s="25">
        <f>+'2.caseta de valvulas'!L127</f>
        <v>36.299999999999997</v>
      </c>
    </row>
    <row r="82" spans="1:4" s="73" customFormat="1" ht="12.75" customHeight="1">
      <c r="A82" s="311">
        <f>+'2.caseta de valvulas'!A134</f>
        <v>1.1602069999999993</v>
      </c>
      <c r="B82" s="163" t="str">
        <f>+'2.caseta de valvulas'!B134</f>
        <v>REVESTIMIENTOS</v>
      </c>
      <c r="C82" s="166"/>
      <c r="D82" s="25"/>
    </row>
    <row r="83" spans="1:4" s="73" customFormat="1" ht="12.75" customHeight="1">
      <c r="A83" s="312">
        <f>+'2.caseta de valvulas'!A135</f>
        <v>1.1602070099999993</v>
      </c>
      <c r="B83" s="165" t="str">
        <f>+'2.caseta de valvulas'!B135</f>
        <v>Tarrajeo interior con mortero 1:5x1.5 cms (incl. Columnetas empotradas)</v>
      </c>
      <c r="C83" s="166" t="str">
        <f>+'2.caseta de valvulas'!D135</f>
        <v>m2</v>
      </c>
      <c r="D83" s="25">
        <f>+'2.caseta de valvulas'!L135</f>
        <v>258.68499999999995</v>
      </c>
    </row>
    <row r="84" spans="1:4" s="73" customFormat="1" ht="12.75" customHeight="1">
      <c r="A84" s="312">
        <f>+'2.caseta de valvulas'!A152</f>
        <v>1.1602070199999992</v>
      </c>
      <c r="B84" s="165" t="str">
        <f>+'2.caseta de valvulas'!B152</f>
        <v>Tarrajeo exterior con mortero 1:5x1.5 cms (incl. Columnetas empotradas)</v>
      </c>
      <c r="C84" s="166" t="str">
        <f>+'2.caseta de valvulas'!D152</f>
        <v>m2</v>
      </c>
      <c r="D84" s="25">
        <f>+'2.caseta de valvulas'!L152</f>
        <v>35.164999999999999</v>
      </c>
    </row>
    <row r="85" spans="1:4" s="73" customFormat="1" ht="12.75" customHeight="1">
      <c r="A85" s="312">
        <f>+'2.caseta de valvulas'!A158</f>
        <v>1.1602070299999991</v>
      </c>
      <c r="B85" s="165" t="str">
        <f>+'2.caseta de valvulas'!B158</f>
        <v xml:space="preserve">Tarrajeo de columnas interior y exterior con mortero 1:5x1.5 cms </v>
      </c>
      <c r="C85" s="166" t="str">
        <f>+'2.caseta de valvulas'!D158</f>
        <v>m2</v>
      </c>
      <c r="D85" s="25">
        <f>+'2.caseta de valvulas'!L158</f>
        <v>27.945</v>
      </c>
    </row>
    <row r="86" spans="1:4" s="73" customFormat="1" ht="12.75" customHeight="1">
      <c r="A86" s="312">
        <f>+'2.caseta de valvulas'!A161</f>
        <v>1.1602070399999991</v>
      </c>
      <c r="B86" s="165" t="str">
        <f>+'2.caseta de valvulas'!B161</f>
        <v xml:space="preserve">Tarrajeo de vigas con mortero 1:5x1.5 cms </v>
      </c>
      <c r="C86" s="166" t="str">
        <f>+'2.caseta de valvulas'!D161</f>
        <v>m2</v>
      </c>
      <c r="D86" s="25">
        <f>+'2.caseta de valvulas'!L161</f>
        <v>66.875</v>
      </c>
    </row>
    <row r="87" spans="1:4" s="73" customFormat="1" ht="12.75" customHeight="1">
      <c r="A87" s="312">
        <f>+'2.caseta de valvulas'!A164</f>
        <v>1.160207049999999</v>
      </c>
      <c r="B87" s="165" t="str">
        <f>+'2.caseta de valvulas'!B164</f>
        <v>Cielo rasos incluye vigas empotradas con mortero 1:4x1.5 cms</v>
      </c>
      <c r="C87" s="166" t="str">
        <f>+'2.caseta de valvulas'!D164</f>
        <v>m2</v>
      </c>
      <c r="D87" s="25">
        <f>+'2.caseta de valvulas'!L164</f>
        <v>88.725000000000009</v>
      </c>
    </row>
    <row r="88" spans="1:4" ht="12.75" customHeight="1">
      <c r="A88" s="312">
        <f>+'2.caseta de valvulas'!A169</f>
        <v>1.160207059999999</v>
      </c>
      <c r="B88" s="165" t="str">
        <f>+'2.caseta de valvulas'!B169</f>
        <v>Vestidura de derrames en puertas, ventana y vanos</v>
      </c>
      <c r="C88" s="166" t="str">
        <f>+'2.caseta de valvulas'!D169</f>
        <v>m</v>
      </c>
      <c r="D88" s="25">
        <f>+'2.caseta de valvulas'!L169</f>
        <v>34.299999999999997</v>
      </c>
    </row>
    <row r="89" spans="1:4" ht="12.75" customHeight="1">
      <c r="A89" s="312">
        <f>+'2.caseta de valvulas'!A176</f>
        <v>1.1602070699999989</v>
      </c>
      <c r="B89" s="165" t="str">
        <f>+'2.caseta de valvulas'!B176</f>
        <v>Contrazócalo interior de cemento frotachado con mortero 1:5 de 2 cm x 0,10</v>
      </c>
      <c r="C89" s="166" t="str">
        <f>+'2.caseta de valvulas'!D176</f>
        <v>m</v>
      </c>
      <c r="D89" s="25">
        <f>+'2.caseta de valvulas'!L176</f>
        <v>37.35</v>
      </c>
    </row>
    <row r="90" spans="1:4" ht="12.75" customHeight="1">
      <c r="A90" s="312">
        <f>+'2.caseta de valvulas'!A179</f>
        <v>1.1602070799999988</v>
      </c>
      <c r="B90" s="165" t="str">
        <f>+'2.caseta de valvulas'!B179</f>
        <v>Cubierta ladrillo pastelero asentado de barro 3 cm + fragua c/mortero 1:5</v>
      </c>
      <c r="C90" s="166" t="str">
        <f>+'2.caseta de valvulas'!D179</f>
        <v>m2</v>
      </c>
      <c r="D90" s="25">
        <f>+'2.caseta de valvulas'!L179</f>
        <v>79.67</v>
      </c>
    </row>
    <row r="91" spans="1:4" ht="12.75" customHeight="1">
      <c r="A91" s="311">
        <f>+'2.caseta de valvulas'!A181</f>
        <v>1.1602079999999992</v>
      </c>
      <c r="B91" s="163" t="str">
        <f>+'2.caseta de valvulas'!B181</f>
        <v>CARPINTERIA METALICA</v>
      </c>
      <c r="C91" s="166"/>
      <c r="D91" s="25"/>
    </row>
    <row r="92" spans="1:4" ht="12.75" customHeight="1">
      <c r="A92" s="312">
        <f>+'2.caseta de valvulas'!A182</f>
        <v>1.1602080099999992</v>
      </c>
      <c r="B92" s="165" t="str">
        <f>+'2.caseta de valvulas'!B182</f>
        <v>Ventana de aluminio con cristal fierro c/perfil "L" de 2" x 1/4" fija  + fierro corrugado de 3/4"</v>
      </c>
      <c r="C92" s="166" t="str">
        <f>+'2.caseta de valvulas'!D182</f>
        <v>m2</v>
      </c>
      <c r="D92" s="25">
        <f>+'2.caseta de valvulas'!L182</f>
        <v>4.2</v>
      </c>
    </row>
    <row r="93" spans="1:4" ht="12.75" customHeight="1">
      <c r="A93" s="312">
        <f>+'2.caseta de valvulas'!A186</f>
        <v>1.1602080199999991</v>
      </c>
      <c r="B93" s="165" t="str">
        <f>+'2.caseta de valvulas'!B186</f>
        <v>Malla protectora de almbre galvanizado N° 12 cocada de 11/2"</v>
      </c>
      <c r="C93" s="166" t="str">
        <f>+'2.caseta de valvulas'!D186</f>
        <v>m2</v>
      </c>
      <c r="D93" s="25">
        <f>+'2.caseta de valvulas'!L186</f>
        <v>4.2</v>
      </c>
    </row>
    <row r="94" spans="1:4" ht="12.75" customHeight="1">
      <c r="A94" s="312">
        <f>+'2.caseta de valvulas'!A188</f>
        <v>1.1602080299999991</v>
      </c>
      <c r="B94" s="165" t="str">
        <f>+'2.caseta de valvulas'!B188</f>
        <v>Puerta contraplacada con marco de madera cedro 2" x 6", pintado al DUCO</v>
      </c>
      <c r="C94" s="166" t="str">
        <f>+'2.caseta de valvulas'!D188</f>
        <v>m2</v>
      </c>
      <c r="D94" s="25">
        <f>+'2.caseta de valvulas'!L188</f>
        <v>4.83</v>
      </c>
    </row>
    <row r="95" spans="1:4" ht="12.75" customHeight="1">
      <c r="A95" s="312">
        <f>+'2.caseta de valvulas'!A191</f>
        <v>1.160208039999999</v>
      </c>
      <c r="B95" s="165" t="str">
        <f>+'2.caseta de valvulas'!B191</f>
        <v>Puerta metalica batiente c/malla metalica cocada 11/2"</v>
      </c>
      <c r="C95" s="166" t="str">
        <f>+'2.caseta de valvulas'!D191</f>
        <v>m2</v>
      </c>
      <c r="D95" s="25">
        <f>+'2.caseta de valvulas'!L191</f>
        <v>4.83</v>
      </c>
    </row>
    <row r="96" spans="1:4" ht="12.75" customHeight="1">
      <c r="A96" s="312">
        <f>+'2.caseta de valvulas'!A193</f>
        <v>1.1602080499999989</v>
      </c>
      <c r="B96" s="165" t="str">
        <f>+'2.caseta de valvulas'!B193</f>
        <v>Marco y tapa de plancha acero inox. 0,7x0,7 m con mecanismo de seguridad s/diseño</v>
      </c>
      <c r="C96" s="166" t="str">
        <f>+'2.caseta de valvulas'!D193</f>
        <v>und</v>
      </c>
      <c r="D96" s="25">
        <f>+'2.caseta de valvulas'!L193</f>
        <v>2</v>
      </c>
    </row>
    <row r="97" spans="1:4" ht="12.75" customHeight="1">
      <c r="A97" s="312">
        <f>+'2.caseta de valvulas'!A197</f>
        <v>1.1602080699999988</v>
      </c>
      <c r="B97" s="165" t="str">
        <f>+'2.caseta de valvulas'!B197</f>
        <v>sistema de izaje en camara seca</v>
      </c>
      <c r="C97" s="166" t="str">
        <f>+'2.caseta de valvulas'!D197</f>
        <v>und</v>
      </c>
      <c r="D97" s="25">
        <f>+'2.caseta de valvulas'!L197</f>
        <v>1</v>
      </c>
    </row>
    <row r="98" spans="1:4" ht="12.75" customHeight="1">
      <c r="A98" s="312">
        <f>+'2.caseta de valvulas'!A199</f>
        <v>1.1602080799999988</v>
      </c>
      <c r="B98" s="165" t="str">
        <f>+'2.caseta de valvulas'!B199</f>
        <v>polea de izaje</v>
      </c>
      <c r="C98" s="166" t="str">
        <f>+'2.caseta de valvulas'!D199</f>
        <v>und</v>
      </c>
      <c r="D98" s="25">
        <f>+'2.caseta de valvulas'!L199</f>
        <v>1</v>
      </c>
    </row>
    <row r="99" spans="1:4" ht="12.75" customHeight="1">
      <c r="A99" s="312">
        <f>+'2.caseta de valvulas'!A201</f>
        <v>1.1602080899999987</v>
      </c>
      <c r="B99" s="165" t="str">
        <f>+'2.caseta de valvulas'!B201</f>
        <v>tambor con manivela DE RATCHET</v>
      </c>
      <c r="C99" s="166" t="str">
        <f>+'2.caseta de valvulas'!D201</f>
        <v>und</v>
      </c>
      <c r="D99" s="25">
        <f>+'2.caseta de valvulas'!L201</f>
        <v>1</v>
      </c>
    </row>
    <row r="100" spans="1:4" ht="12.75" customHeight="1">
      <c r="A100" s="312">
        <f>+'2.caseta de valvulas'!A203</f>
        <v>1.1602080999999986</v>
      </c>
      <c r="B100" s="165" t="str">
        <f>+'2.caseta de valvulas'!B203</f>
        <v>reja mecanizado tipo cesto, según detalle</v>
      </c>
      <c r="C100" s="166" t="str">
        <f>+'2.caseta de valvulas'!D203</f>
        <v>und</v>
      </c>
      <c r="D100" s="25">
        <f>+'2.caseta de valvulas'!L203</f>
        <v>1</v>
      </c>
    </row>
    <row r="101" spans="1:4" ht="12.75" customHeight="1">
      <c r="A101" s="312">
        <f>+'2.caseta de valvulas'!A205</f>
        <v>1.1602081099999986</v>
      </c>
      <c r="B101" s="165" t="str">
        <f>+'2.caseta de valvulas'!B205</f>
        <v>sistema de reja fina, según detalle</v>
      </c>
      <c r="C101" s="166" t="str">
        <f>+'2.caseta de valvulas'!D205</f>
        <v>und</v>
      </c>
      <c r="D101" s="25">
        <f>+'2.caseta de valvulas'!L205</f>
        <v>1</v>
      </c>
    </row>
    <row r="102" spans="1:4" ht="12.75" customHeight="1">
      <c r="A102" s="312">
        <f>+'2.caseta de valvulas'!A207</f>
        <v>1.1602081199999985</v>
      </c>
      <c r="B102" s="165" t="str">
        <f>+'2.caseta de valvulas'!B207</f>
        <v>reja tipo compuerta</v>
      </c>
      <c r="C102" s="166" t="str">
        <f>+'2.caseta de valvulas'!D207</f>
        <v>und</v>
      </c>
      <c r="D102" s="25">
        <f>+'2.caseta de valvulas'!L207</f>
        <v>2</v>
      </c>
    </row>
    <row r="103" spans="1:4" ht="12.75" customHeight="1">
      <c r="A103" s="311">
        <f>+'2.caseta de valvulas'!A209</f>
        <v>1.1602089999999992</v>
      </c>
      <c r="B103" s="163" t="str">
        <f>+'2.caseta de valvulas'!B209</f>
        <v>PINTURAS</v>
      </c>
      <c r="C103" s="166"/>
      <c r="D103" s="25"/>
    </row>
    <row r="104" spans="1:4" ht="12.75" customHeight="1">
      <c r="A104" s="312">
        <f>+'2.caseta de valvulas'!A210</f>
        <v>1.1602090099999991</v>
      </c>
      <c r="B104" s="165" t="str">
        <f>+'2.caseta de valvulas'!B210</f>
        <v>Pintado de muro interior y exterior con teknomate o supermate (incluye vigas y columnas)</v>
      </c>
      <c r="C104" s="166" t="str">
        <f>+'2.caseta de valvulas'!D210</f>
        <v>m2</v>
      </c>
      <c r="D104" s="25">
        <f>+'2.caseta de valvulas'!L210</f>
        <v>388.66999999999996</v>
      </c>
    </row>
    <row r="105" spans="1:4" ht="12.75" customHeight="1">
      <c r="A105" s="312">
        <f>+'2.caseta de valvulas'!A212</f>
        <v>1.160209019999999</v>
      </c>
      <c r="B105" s="165" t="str">
        <f>+'2.caseta de valvulas'!B212</f>
        <v>Pintado de cielo raso con teknomate o supermate (similar)</v>
      </c>
      <c r="C105" s="166" t="str">
        <f>+'2.caseta de valvulas'!D212</f>
        <v>m2</v>
      </c>
      <c r="D105" s="25">
        <f>+'2.caseta de valvulas'!L212</f>
        <v>88.725000000000009</v>
      </c>
    </row>
    <row r="106" spans="1:4" ht="12.75" customHeight="1">
      <c r="A106" s="312">
        <f>+'2.caseta de valvulas'!A214</f>
        <v>1.160209029999999</v>
      </c>
      <c r="B106" s="165" t="str">
        <f>+'2.caseta de valvulas'!B214</f>
        <v>Pintado de puertas metálicas LAC (2 manos anti-corrosiva +  2 esmalte)</v>
      </c>
      <c r="C106" s="166" t="str">
        <f>+'2.caseta de valvulas'!D214</f>
        <v>m2</v>
      </c>
      <c r="D106" s="25">
        <f>+'2.caseta de valvulas'!L214</f>
        <v>4.83</v>
      </c>
    </row>
    <row r="107" spans="1:4" ht="12.75" customHeight="1">
      <c r="A107" s="312">
        <f>+'2.caseta de valvulas'!A216</f>
        <v>1.1602090399999989</v>
      </c>
      <c r="B107" s="165" t="str">
        <f>+'2.caseta de valvulas'!B216</f>
        <v>Pintado de ventanas metalicas (2manos anticorrosiva + 2esmalte)</v>
      </c>
      <c r="C107" s="166" t="str">
        <f>+'2.caseta de valvulas'!D216</f>
        <v>m2</v>
      </c>
      <c r="D107" s="25">
        <f>+'2.caseta de valvulas'!L216</f>
        <v>4.2</v>
      </c>
    </row>
    <row r="108" spans="1:4" ht="12.75" customHeight="1">
      <c r="A108" s="312">
        <f>+'2.caseta de valvulas'!A218</f>
        <v>1.1602090499999989</v>
      </c>
      <c r="B108" s="165" t="str">
        <f>+'2.caseta de valvulas'!B218</f>
        <v xml:space="preserve">Pintado de contrazocalos con teknomate o supermate </v>
      </c>
      <c r="C108" s="166" t="str">
        <f>+'2.caseta de valvulas'!D218</f>
        <v>m2</v>
      </c>
      <c r="D108" s="25">
        <f>+'2.caseta de valvulas'!L218</f>
        <v>5.4749999999999996</v>
      </c>
    </row>
    <row r="109" spans="1:4" ht="12.75" customHeight="1">
      <c r="A109" s="311">
        <f>+'2.caseta de valvulas'!A221</f>
        <v>1.1602099999999991</v>
      </c>
      <c r="B109" s="163" t="str">
        <f>+'2.caseta de valvulas'!B221</f>
        <v xml:space="preserve">PISOS, VEREDAS </v>
      </c>
      <c r="C109" s="166"/>
      <c r="D109" s="25"/>
    </row>
    <row r="110" spans="1:4" ht="12.75" customHeight="1">
      <c r="A110" s="312">
        <f>+'2.caseta de valvulas'!A222</f>
        <v>1.160210009999999</v>
      </c>
      <c r="B110" s="165" t="str">
        <f>+'2.caseta de valvulas'!B222</f>
        <v>Falso piso de concreto 1:10 de espesor  4" (cemento P-V)</v>
      </c>
      <c r="C110" s="166" t="str">
        <f>+'2.caseta de valvulas'!D222</f>
        <v>m2</v>
      </c>
      <c r="D110" s="25">
        <f>+'2.caseta de valvulas'!L222</f>
        <v>43.65</v>
      </c>
    </row>
    <row r="111" spans="1:4" ht="12.75" customHeight="1">
      <c r="A111" s="312">
        <f>+'2.caseta de valvulas'!A224</f>
        <v>1.160210019999999</v>
      </c>
      <c r="B111" s="165" t="str">
        <f>+'2.caseta de valvulas'!B224</f>
        <v>Acabado pulido de piso con mortero 1:2 x 1.5 cm de espesor</v>
      </c>
      <c r="C111" s="166" t="str">
        <f>+'2.caseta de valvulas'!D224</f>
        <v>m2</v>
      </c>
      <c r="D111" s="25">
        <f>+'2.caseta de valvulas'!L224</f>
        <v>85.22</v>
      </c>
    </row>
    <row r="112" spans="1:4" ht="12.75" customHeight="1">
      <c r="A112" s="311">
        <f>+'2.caseta de valvulas'!A228</f>
        <v>1.160210999999999</v>
      </c>
      <c r="B112" s="163" t="str">
        <f>+'2.caseta de valvulas'!B228</f>
        <v>VARIOS</v>
      </c>
      <c r="C112" s="166"/>
      <c r="D112" s="25"/>
    </row>
    <row r="113" spans="1:4" ht="12.75" customHeight="1">
      <c r="A113" s="312">
        <f>+'2.caseta de valvulas'!A229</f>
        <v>1.1602110099999989</v>
      </c>
      <c r="B113" s="165" t="str">
        <f>+'2.caseta de valvulas'!B229</f>
        <v>Cerradura de perilla tipo forte</v>
      </c>
      <c r="C113" s="166" t="str">
        <f>+'2.caseta de valvulas'!D229</f>
        <v>und</v>
      </c>
      <c r="D113" s="25">
        <f>+'2.caseta de valvulas'!L229</f>
        <v>2</v>
      </c>
    </row>
    <row r="114" spans="1:4" ht="12.75" customHeight="1">
      <c r="A114" s="312">
        <f>+'2.caseta de valvulas'!A230</f>
        <v>1.1602110199999989</v>
      </c>
      <c r="B114" s="165" t="str">
        <f>+'2.caseta de valvulas'!B230</f>
        <v>Candado, incluyendo aldabas</v>
      </c>
      <c r="C114" s="166" t="str">
        <f>+'2.caseta de valvulas'!D230</f>
        <v>und</v>
      </c>
      <c r="D114" s="25">
        <f>+'2.caseta de valvulas'!L230</f>
        <v>4</v>
      </c>
    </row>
    <row r="115" spans="1:4" ht="12.75" customHeight="1">
      <c r="A115" s="312">
        <f>+'2.caseta de valvulas'!A231</f>
        <v>1.1602110299999988</v>
      </c>
      <c r="B115" s="165" t="str">
        <f>+'2.caseta de valvulas'!B231</f>
        <v>Bisagra de fierro para puerta (promedio)</v>
      </c>
      <c r="C115" s="166" t="str">
        <f>+'2.caseta de valvulas'!D231</f>
        <v>und</v>
      </c>
      <c r="D115" s="25">
        <f>+'2.caseta de valvulas'!L231</f>
        <v>15</v>
      </c>
    </row>
    <row r="116" spans="1:4" ht="12.75" customHeight="1">
      <c r="A116" s="312">
        <f>+'2.caseta de valvulas'!A232</f>
        <v>1.1602110399999988</v>
      </c>
      <c r="B116" s="165" t="str">
        <f>+'2.caseta de valvulas'!B232</f>
        <v>Prueba de calidad del concreto (prueba a la compresión)</v>
      </c>
      <c r="C116" s="166" t="str">
        <f>+'2.caseta de valvulas'!D232</f>
        <v>und</v>
      </c>
      <c r="D116" s="25">
        <f>+'2.caseta de valvulas'!L232</f>
        <v>35</v>
      </c>
    </row>
    <row r="117" spans="1:4" ht="12.75" customHeight="1">
      <c r="A117" s="312">
        <f>+'2.caseta de valvulas'!A233</f>
        <v>1.1602110499999987</v>
      </c>
      <c r="B117" s="165" t="str">
        <f>+'2.caseta de valvulas'!B233</f>
        <v>suministro y colocacion de ceramico 0.15x0.15</v>
      </c>
      <c r="C117" s="166" t="str">
        <f>+'2.caseta de valvulas'!D233</f>
        <v>m2</v>
      </c>
      <c r="D117" s="25">
        <f>+'2.caseta de valvulas'!L233</f>
        <v>15.1</v>
      </c>
    </row>
    <row r="118" spans="1:4" ht="12.75" customHeight="1">
      <c r="A118" s="311">
        <f>+'2.caseta de valvulas'!A236</f>
        <v>1.1602119999999989</v>
      </c>
      <c r="B118" s="163" t="str">
        <f>+'2.caseta de valvulas'!B236</f>
        <v>SISTEMA DE DESAGUE</v>
      </c>
      <c r="C118" s="166"/>
      <c r="D118" s="25"/>
    </row>
    <row r="119" spans="1:4" ht="12.75" customHeight="1">
      <c r="A119" s="312">
        <f>+'2.caseta de valvulas'!A237</f>
        <v>1.1602120099999989</v>
      </c>
      <c r="B119" s="165" t="str">
        <f>+'2.caseta de valvulas'!B237</f>
        <v>caja sumidero de concreto 0.35x0.35x0.50</v>
      </c>
      <c r="C119" s="166" t="str">
        <f>+'2.caseta de valvulas'!D237</f>
        <v>und</v>
      </c>
      <c r="D119" s="25">
        <f>+'2.caseta de valvulas'!L237</f>
        <v>5</v>
      </c>
    </row>
    <row r="120" spans="1:4" ht="12.75" customHeight="1">
      <c r="A120" s="312">
        <f>+'2.caseta de valvulas'!A238</f>
        <v>1.1602120199999988</v>
      </c>
      <c r="B120" s="165" t="str">
        <f>+'2.caseta de valvulas'!B238</f>
        <v>rejilla metalica 0.40x0.40</v>
      </c>
      <c r="C120" s="166" t="str">
        <f>+'2.caseta de valvulas'!D238</f>
        <v>und</v>
      </c>
      <c r="D120" s="25">
        <f>+'2.caseta de valvulas'!L238</f>
        <v>5</v>
      </c>
    </row>
    <row r="121" spans="1:4" ht="12.75" customHeight="1">
      <c r="A121" s="312">
        <f>+'2.caseta de valvulas'!A239</f>
        <v>1.1602120299999987</v>
      </c>
      <c r="B121" s="165" t="str">
        <f>+'2.caseta de valvulas'!B239</f>
        <v>caja de registro de desague 12"x24"</v>
      </c>
      <c r="C121" s="166" t="str">
        <f>+'2.caseta de valvulas'!D239</f>
        <v>pza</v>
      </c>
      <c r="D121" s="25">
        <f>+'2.caseta de valvulas'!L239</f>
        <v>1</v>
      </c>
    </row>
    <row r="122" spans="1:4" ht="12.75" customHeight="1">
      <c r="A122" s="312">
        <f>+'2.caseta de valvulas'!A240</f>
        <v>1.1602120399999987</v>
      </c>
      <c r="B122" s="165" t="str">
        <f>+'2.caseta de valvulas'!B240</f>
        <v>red de derivacion pvc sal para desague de 2"</v>
      </c>
      <c r="C122" s="166" t="str">
        <f>+'2.caseta de valvulas'!D240</f>
        <v>ml</v>
      </c>
      <c r="D122" s="25">
        <f>+'2.caseta de valvulas'!L240</f>
        <v>15.5</v>
      </c>
    </row>
    <row r="123" spans="1:4" ht="12.75" customHeight="1">
      <c r="A123" s="312">
        <f>+'2.caseta de valvulas'!A241</f>
        <v>1.1602120499999986</v>
      </c>
      <c r="B123" s="165" t="str">
        <f>+'2.caseta de valvulas'!B241</f>
        <v>red de derivacion pvc sal para desague de 3"</v>
      </c>
      <c r="C123" s="166" t="str">
        <f>+'2.caseta de valvulas'!D241</f>
        <v>ml</v>
      </c>
      <c r="D123" s="25">
        <f>+'2.caseta de valvulas'!L241</f>
        <v>24.740000000000002</v>
      </c>
    </row>
    <row r="124" spans="1:4" ht="12.75" customHeight="1">
      <c r="A124" s="312">
        <f>+'2.caseta de valvulas'!A242</f>
        <v>1.1602120599999985</v>
      </c>
      <c r="B124" s="165" t="str">
        <f>+'2.caseta de valvulas'!B242</f>
        <v>red de derivacion pvc sal para desague de 4"</v>
      </c>
      <c r="C124" s="166" t="str">
        <f>+'2.caseta de valvulas'!D242</f>
        <v>ml</v>
      </c>
      <c r="D124" s="25">
        <f>+'2.caseta de valvulas'!L242</f>
        <v>12</v>
      </c>
    </row>
    <row r="125" spans="1:4" ht="12.75" customHeight="1">
      <c r="A125" s="312">
        <f>+'2.caseta de valvulas'!A243</f>
        <v>1.1602120699999985</v>
      </c>
      <c r="B125" s="165" t="str">
        <f>+'2.caseta de valvulas'!B243</f>
        <v>salidas de pvc sal para ventilación de 2"</v>
      </c>
      <c r="C125" s="166" t="str">
        <f>+'2.caseta de valvulas'!D243</f>
        <v>pto</v>
      </c>
      <c r="D125" s="25">
        <f>+'2.caseta de valvulas'!L243</f>
        <v>1</v>
      </c>
    </row>
    <row r="126" spans="1:4" ht="12.75" customHeight="1">
      <c r="A126" s="312">
        <f>+'2.caseta de valvulas'!A244</f>
        <v>1.1602120799999984</v>
      </c>
      <c r="B126" s="165" t="str">
        <f>+'2.caseta de valvulas'!B244</f>
        <v>salidas de pvc sal para desagüe de 2"</v>
      </c>
      <c r="C126" s="166" t="str">
        <f>+'2.caseta de valvulas'!D244</f>
        <v>pto</v>
      </c>
      <c r="D126" s="25">
        <f>+'2.caseta de valvulas'!L244</f>
        <v>6</v>
      </c>
    </row>
    <row r="127" spans="1:4" ht="12.75" customHeight="1">
      <c r="A127" s="312">
        <f>+'2.caseta de valvulas'!A245</f>
        <v>1.1602120899999984</v>
      </c>
      <c r="B127" s="165" t="str">
        <f>+'2.caseta de valvulas'!B245</f>
        <v>salidas de pvc sal para desague de 3"</v>
      </c>
      <c r="C127" s="166" t="str">
        <f>+'2.caseta de valvulas'!D245</f>
        <v>pto</v>
      </c>
      <c r="D127" s="25">
        <f>+'2.caseta de valvulas'!L245</f>
        <v>3</v>
      </c>
    </row>
    <row r="128" spans="1:4" ht="12.75" customHeight="1">
      <c r="A128" s="312">
        <f>+'2.caseta de valvulas'!A246</f>
        <v>1.1602120999999983</v>
      </c>
      <c r="B128" s="165" t="str">
        <f>+'2.caseta de valvulas'!B246</f>
        <v>salidas de pvc sal para desague de 4"</v>
      </c>
      <c r="C128" s="166" t="str">
        <f>+'2.caseta de valvulas'!D246</f>
        <v>pto</v>
      </c>
      <c r="D128" s="25">
        <f>+'2.caseta de valvulas'!L246</f>
        <v>2</v>
      </c>
    </row>
    <row r="129" spans="1:4" ht="12.75" customHeight="1">
      <c r="A129" s="312">
        <f>+'2.caseta de valvulas'!A247</f>
        <v>1.1602121099999982</v>
      </c>
      <c r="B129" s="165" t="str">
        <f>+'2.caseta de valvulas'!B247</f>
        <v>registros de bronce cromado 3"</v>
      </c>
      <c r="C129" s="166" t="str">
        <f>+'2.caseta de valvulas'!D247</f>
        <v>pza</v>
      </c>
      <c r="D129" s="25">
        <f>+'2.caseta de valvulas'!L247</f>
        <v>3</v>
      </c>
    </row>
    <row r="130" spans="1:4" ht="12.75" customHeight="1">
      <c r="A130" s="312">
        <f>+'2.caseta de valvulas'!A249</f>
        <v>1.1602121299999981</v>
      </c>
      <c r="B130" s="165" t="str">
        <f>+'2.caseta de valvulas'!B249</f>
        <v>inodoro tanque bajo blanco</v>
      </c>
      <c r="C130" s="166" t="str">
        <f>+'2.caseta de valvulas'!D249</f>
        <v>pza</v>
      </c>
      <c r="D130" s="25">
        <f>+'2.caseta de valvulas'!L249</f>
        <v>1</v>
      </c>
    </row>
    <row r="131" spans="1:4" ht="12.75" customHeight="1">
      <c r="A131" s="312">
        <f>+'2.caseta de valvulas'!A250</f>
        <v>1.1602121399999981</v>
      </c>
      <c r="B131" s="165" t="str">
        <f>+'2.caseta de valvulas'!B250</f>
        <v>lavatorio de pared con gritería cromada 20x17 cm  (jamaica o similar)</v>
      </c>
      <c r="C131" s="166" t="str">
        <f>+'2.caseta de valvulas'!D250</f>
        <v>und</v>
      </c>
      <c r="D131" s="25">
        <f>+'2.caseta de valvulas'!L250</f>
        <v>1</v>
      </c>
    </row>
    <row r="132" spans="1:4" ht="12.75" customHeight="1">
      <c r="A132" s="312">
        <f>+'2.caseta de valvulas'!A251</f>
        <v>1.160212149999998</v>
      </c>
      <c r="B132" s="165" t="str">
        <f>+'2.caseta de valvulas'!B251</f>
        <v>ducha cromada 1 llave incluye accesorios</v>
      </c>
      <c r="C132" s="166" t="str">
        <f>+'2.caseta de valvulas'!D251</f>
        <v>und</v>
      </c>
      <c r="D132" s="25">
        <f>+'2.caseta de valvulas'!L251</f>
        <v>1</v>
      </c>
    </row>
    <row r="133" spans="1:4" ht="12.75" customHeight="1">
      <c r="A133" s="312">
        <f>+'2.caseta de valvulas'!A252</f>
        <v>1.1602121599999979</v>
      </c>
      <c r="B133" s="165" t="str">
        <f>+'2.caseta de valvulas'!B252</f>
        <v>jabonera de losa color blanco</v>
      </c>
      <c r="C133" s="166" t="str">
        <f>+'2.caseta de valvulas'!D252</f>
        <v>und</v>
      </c>
      <c r="D133" s="25">
        <f>+'2.caseta de valvulas'!L252</f>
        <v>1</v>
      </c>
    </row>
    <row r="134" spans="1:4" ht="12.75" customHeight="1">
      <c r="A134" s="312">
        <f>+'2.caseta de valvulas'!A253</f>
        <v>1.1602121699999979</v>
      </c>
      <c r="B134" s="165" t="str">
        <f>+'2.caseta de valvulas'!B253</f>
        <v xml:space="preserve">Toallera de losa y barra plástica color blanco </v>
      </c>
      <c r="C134" s="166" t="str">
        <f>+'2.caseta de valvulas'!D253</f>
        <v>und</v>
      </c>
      <c r="D134" s="25">
        <f>+'2.caseta de valvulas'!L253</f>
        <v>1</v>
      </c>
    </row>
    <row r="135" spans="1:4" ht="12.75" customHeight="1">
      <c r="A135" s="312">
        <f>+'2.caseta de valvulas'!A254</f>
        <v>1.1602121799999978</v>
      </c>
      <c r="B135" s="165" t="str">
        <f>+'2.caseta de valvulas'!B254</f>
        <v>papelera de losa y barra plástica color blanco</v>
      </c>
      <c r="C135" s="166" t="str">
        <f>+'2.caseta de valvulas'!D254</f>
        <v>und</v>
      </c>
      <c r="D135" s="25">
        <f>+'2.caseta de valvulas'!L254</f>
        <v>1</v>
      </c>
    </row>
    <row r="136" spans="1:4" ht="12.75" customHeight="1">
      <c r="A136" s="312">
        <f>+'2.caseta de valvulas'!A255</f>
        <v>1.1602121899999978</v>
      </c>
      <c r="B136" s="165" t="str">
        <f>+'2.caseta de valvulas'!B255</f>
        <v>instalación de accesorios sanitarios complementarios</v>
      </c>
      <c r="C136" s="166" t="str">
        <f>+'2.caseta de valvulas'!D255</f>
        <v>und</v>
      </c>
      <c r="D136" s="25">
        <f>+'2.caseta de valvulas'!L255</f>
        <v>3</v>
      </c>
    </row>
    <row r="137" spans="1:4" ht="12.75" customHeight="1">
      <c r="A137" s="312">
        <f>+'2.caseta de valvulas'!A256</f>
        <v>1.1602121999999977</v>
      </c>
      <c r="B137" s="165" t="str">
        <f>+'2.caseta de valvulas'!B256</f>
        <v>instalación de aparatos sanitarios</v>
      </c>
      <c r="C137" s="166" t="str">
        <f>+'2.caseta de valvulas'!D256</f>
        <v>und</v>
      </c>
      <c r="D137" s="25">
        <f>+'2.caseta de valvulas'!L256</f>
        <v>3</v>
      </c>
    </row>
    <row r="138" spans="1:4" ht="12.75" customHeight="1">
      <c r="A138" s="311">
        <f>+'2.caseta de valvulas'!A257</f>
        <v>1.1602129999999988</v>
      </c>
      <c r="B138" s="163" t="str">
        <f>+'2.caseta de valvulas'!B257</f>
        <v>SISTEMA DE AGUA FRIA</v>
      </c>
      <c r="C138" s="166"/>
      <c r="D138" s="25"/>
    </row>
    <row r="139" spans="1:4" ht="12.75" customHeight="1">
      <c r="A139" s="312">
        <f>+'2.caseta de valvulas'!A258</f>
        <v>1.1602130099999988</v>
      </c>
      <c r="B139" s="165" t="str">
        <f>+'2.caseta de valvulas'!B258</f>
        <v>salida de agua fría con tuberia de pvc-sap 1/2"</v>
      </c>
      <c r="C139" s="166" t="str">
        <f>+'2.caseta de valvulas'!D258</f>
        <v>pto</v>
      </c>
      <c r="D139" s="25">
        <f>+'2.caseta de valvulas'!L258</f>
        <v>4</v>
      </c>
    </row>
    <row r="140" spans="1:4" ht="12.75" customHeight="1">
      <c r="A140" s="312">
        <f>+'2.caseta de valvulas'!A259</f>
        <v>1.1602130199999987</v>
      </c>
      <c r="B140" s="165" t="str">
        <f>+'2.caseta de valvulas'!B259</f>
        <v>salida de agua fría con tuberia de pvc-sap 3/4"</v>
      </c>
      <c r="C140" s="166" t="str">
        <f>+'2.caseta de valvulas'!D259</f>
        <v>pto</v>
      </c>
      <c r="D140" s="25">
        <f>+'2.caseta de valvulas'!L259</f>
        <v>1</v>
      </c>
    </row>
    <row r="141" spans="1:4" ht="12.75" customHeight="1">
      <c r="A141" s="312">
        <f>+'2.caseta de valvulas'!A260</f>
        <v>1.1602130299999986</v>
      </c>
      <c r="B141" s="165" t="str">
        <f>+'2.caseta de valvulas'!B260</f>
        <v>red de distribución tuberia de 1/2" pvc-sap</v>
      </c>
      <c r="C141" s="166" t="str">
        <f>+'2.caseta de valvulas'!D260</f>
        <v>ml</v>
      </c>
      <c r="D141" s="25">
        <f>+'2.caseta de valvulas'!L260</f>
        <v>14</v>
      </c>
    </row>
    <row r="142" spans="1:4" ht="12.75" customHeight="1">
      <c r="A142" s="312">
        <f>+'2.caseta de valvulas'!A261</f>
        <v>1.1602130399999986</v>
      </c>
      <c r="B142" s="165" t="str">
        <f>+'2.caseta de valvulas'!B261</f>
        <v>red de distribución tuberia de 3/4" pvc-sap</v>
      </c>
      <c r="C142" s="166" t="str">
        <f>+'2.caseta de valvulas'!D261</f>
        <v>ml</v>
      </c>
      <c r="D142" s="25">
        <f>+'2.caseta de valvulas'!L261</f>
        <v>17</v>
      </c>
    </row>
    <row r="143" spans="1:4" ht="12.75" customHeight="1">
      <c r="A143" s="312">
        <f>+'2.caseta de valvulas'!A262</f>
        <v>1.1602130499999985</v>
      </c>
      <c r="B143" s="165" t="str">
        <f>+'2.caseta de valvulas'!B262</f>
        <v>válvulas de compuerta de bronce de 3/4"</v>
      </c>
      <c r="C143" s="166" t="str">
        <f>+'2.caseta de valvulas'!D262</f>
        <v>pza</v>
      </c>
      <c r="D143" s="25">
        <f>+'2.caseta de valvulas'!L262</f>
        <v>2</v>
      </c>
    </row>
    <row r="144" spans="1:4" ht="12.75" customHeight="1">
      <c r="A144" s="312">
        <f>+'2.caseta de valvulas'!A264</f>
        <v>1.1602130699999984</v>
      </c>
      <c r="B144" s="165" t="str">
        <f>+'2.caseta de valvulas'!B264</f>
        <v>llave de riego con grifo de 1/2"</v>
      </c>
      <c r="C144" s="166" t="str">
        <f>+'2.caseta de valvulas'!D264</f>
        <v>pza</v>
      </c>
      <c r="D144" s="25">
        <f>+'2.caseta de valvulas'!L264</f>
        <v>1</v>
      </c>
    </row>
    <row r="145" spans="1:4" ht="12.75" customHeight="1">
      <c r="A145" s="311">
        <f>+'3.cisterna'!A8</f>
        <v>1.1602999999999999</v>
      </c>
      <c r="B145" s="163" t="str">
        <f>+'3.cisterna'!B8</f>
        <v>CISTERNA</v>
      </c>
      <c r="C145" s="166"/>
      <c r="D145" s="25"/>
    </row>
    <row r="146" spans="1:4" ht="12.75" customHeight="1">
      <c r="A146" s="311">
        <f>+'3.cisterna'!A9</f>
        <v>1.1603009999999998</v>
      </c>
      <c r="B146" s="163" t="str">
        <f>+'3.cisterna'!B9</f>
        <v>OBRAS PROVISIONALES</v>
      </c>
      <c r="C146" s="166"/>
      <c r="D146" s="25"/>
    </row>
    <row r="147" spans="1:4" ht="12.75" customHeight="1">
      <c r="A147" s="312">
        <f>+'3.cisterna'!A10</f>
        <v>1.1603010099999997</v>
      </c>
      <c r="B147" s="165" t="str">
        <f>+'3.cisterna'!B10</f>
        <v>Trazo y replanteo inicial para cisterna</v>
      </c>
      <c r="C147" s="166" t="str">
        <f>+'3.cisterna'!D10</f>
        <v>m2</v>
      </c>
      <c r="D147" s="25">
        <f>+'3.cisterna'!L10</f>
        <v>3.1500000000000004</v>
      </c>
    </row>
    <row r="148" spans="1:4" ht="12.75" customHeight="1">
      <c r="A148" s="312">
        <f>+'3.cisterna'!A12</f>
        <v>1.1603010199999997</v>
      </c>
      <c r="B148" s="165" t="str">
        <f>+'3.cisterna'!B12</f>
        <v>Replanteo final de obra de cisterna</v>
      </c>
      <c r="C148" s="166" t="str">
        <f>+'3.cisterna'!D12</f>
        <v>m2</v>
      </c>
      <c r="D148" s="25">
        <f>+'3.cisterna'!L12</f>
        <v>3.1500000000000004</v>
      </c>
    </row>
    <row r="149" spans="1:4" ht="12.75" customHeight="1">
      <c r="A149" s="311">
        <f>+'3.cisterna'!A14</f>
        <v>1.1603019999999997</v>
      </c>
      <c r="B149" s="163" t="str">
        <f>+'3.cisterna'!B14</f>
        <v>MOVIMIENTO DE TIERRAS</v>
      </c>
      <c r="C149" s="166"/>
      <c r="D149" s="25"/>
    </row>
    <row r="150" spans="1:4" ht="12.75" customHeight="1">
      <c r="A150" s="312">
        <f>+'3.cisterna'!A15</f>
        <v>1.1603020099999997</v>
      </c>
      <c r="B150" s="165" t="str">
        <f>+'3.cisterna'!B15</f>
        <v>excavaciones en terreno normal</v>
      </c>
      <c r="C150" s="166" t="str">
        <f>+'3.cisterna'!D15</f>
        <v>m3</v>
      </c>
      <c r="D150" s="25">
        <f>+'3.cisterna'!L15</f>
        <v>5.8275000000000006</v>
      </c>
    </row>
    <row r="151" spans="1:4" ht="12.75" customHeight="1">
      <c r="A151" s="312">
        <f>+'3.cisterna'!A17</f>
        <v>1.1603020199999996</v>
      </c>
      <c r="B151" s="165" t="str">
        <f>+'3.cisterna'!B17</f>
        <v>refine, nivelacion y compactacion, en terreno normal</v>
      </c>
      <c r="C151" s="166" t="str">
        <f>+'3.cisterna'!D17</f>
        <v>m2</v>
      </c>
      <c r="D151" s="25">
        <f>+'3.cisterna'!L17</f>
        <v>3.1500000000000004</v>
      </c>
    </row>
    <row r="152" spans="1:4" ht="12.75" customHeight="1">
      <c r="A152" s="312">
        <f>+'3.cisterna'!A19</f>
        <v>1.1603020299999995</v>
      </c>
      <c r="B152" s="165" t="str">
        <f>+'3.cisterna'!B19</f>
        <v>eliminación de desmonte en terreno normal r=10 km con maquinaria</v>
      </c>
      <c r="C152" s="166" t="str">
        <f>+'3.cisterna'!D19</f>
        <v>m3</v>
      </c>
      <c r="D152" s="25">
        <f>+'3.cisterna'!L19</f>
        <v>7.5757500000000011</v>
      </c>
    </row>
    <row r="153" spans="1:4" ht="12.75" customHeight="1">
      <c r="A153" s="311">
        <f>+'3.cisterna'!A21</f>
        <v>1.1603029999999996</v>
      </c>
      <c r="B153" s="163" t="str">
        <f>+'3.cisterna'!B21</f>
        <v>OBRAS DE CONCRETO SIMPLE</v>
      </c>
      <c r="C153" s="166"/>
      <c r="D153" s="25"/>
    </row>
    <row r="154" spans="1:4" ht="12.75" customHeight="1">
      <c r="A154" s="312">
        <f>+'3.cisterna'!A22</f>
        <v>1.1603030099999996</v>
      </c>
      <c r="B154" s="165" t="str">
        <f>+'3.cisterna'!B22</f>
        <v>concreto f'c=140 kg/cm2 para solados, e=0.10m</v>
      </c>
      <c r="C154" s="166" t="str">
        <f>+'3.cisterna'!D22</f>
        <v>m2</v>
      </c>
      <c r="D154" s="25">
        <f>+'3.cisterna'!L22</f>
        <v>3.1500000000000004</v>
      </c>
    </row>
    <row r="155" spans="1:4" ht="12.75" customHeight="1">
      <c r="A155" s="311">
        <f>+'3.cisterna'!A24</f>
        <v>1.1603039999999996</v>
      </c>
      <c r="B155" s="163" t="str">
        <f>+'3.cisterna'!B24</f>
        <v>OBRAS DE CONCRETO ARMADO</v>
      </c>
      <c r="C155" s="166"/>
      <c r="D155" s="25"/>
    </row>
    <row r="156" spans="1:4" ht="12.75" customHeight="1">
      <c r="A156" s="312">
        <f>+'3.cisterna'!A25</f>
        <v>1.1603040099999995</v>
      </c>
      <c r="B156" s="165" t="str">
        <f>+'3.cisterna'!B25</f>
        <v>concreto f'c=280 kg/cm2. para losa de fondo  (cemento p-v)</v>
      </c>
      <c r="C156" s="166" t="str">
        <f>+'3.cisterna'!D25</f>
        <v>m3</v>
      </c>
      <c r="D156" s="25">
        <f>+'3.cisterna'!L25</f>
        <v>0.63000000000000012</v>
      </c>
    </row>
    <row r="157" spans="1:4" ht="12.75" customHeight="1">
      <c r="A157" s="312">
        <f>+'3.cisterna'!A27</f>
        <v>1.1603040199999994</v>
      </c>
      <c r="B157" s="165" t="str">
        <f>+'3.cisterna'!B27</f>
        <v>encofrado (i/habilitacion de madera) p/losa de fondo</v>
      </c>
      <c r="C157" s="166" t="str">
        <f>+'3.cisterna'!D27</f>
        <v>m2</v>
      </c>
      <c r="D157" s="25">
        <f>+'3.cisterna'!L27</f>
        <v>1.4400000000000002</v>
      </c>
    </row>
    <row r="158" spans="1:4" ht="12.75" customHeight="1">
      <c r="A158" s="312">
        <f>+'3.cisterna'!A29</f>
        <v>1.1603040299999994</v>
      </c>
      <c r="B158" s="165" t="str">
        <f>+'3.cisterna'!B29</f>
        <v>acero estruct. trabajado p/losa de fondo</v>
      </c>
      <c r="C158" s="166" t="str">
        <f>+'3.cisterna'!D29</f>
        <v>kg</v>
      </c>
      <c r="D158" s="25">
        <f>+'3.cisterna'!L29</f>
        <v>47.712000000000003</v>
      </c>
    </row>
    <row r="159" spans="1:4" ht="12.75" customHeight="1">
      <c r="A159" s="312">
        <f>+'3.cisterna'!A31</f>
        <v>1.1603040399999993</v>
      </c>
      <c r="B159" s="165" t="str">
        <f>+'3.cisterna'!B31</f>
        <v>concreto f'c=280 kg/cm2. para muros reforzados  (cemento p-v)</v>
      </c>
      <c r="C159" s="166" t="str">
        <f>+'3.cisterna'!D31</f>
        <v>m3</v>
      </c>
      <c r="D159" s="25">
        <f>+'3.cisterna'!L31</f>
        <v>1.782</v>
      </c>
    </row>
    <row r="160" spans="1:4" ht="12.75" customHeight="1">
      <c r="A160" s="312">
        <f>+'3.cisterna'!A34</f>
        <v>1.1603040499999993</v>
      </c>
      <c r="B160" s="165" t="str">
        <f>+'3.cisterna'!B34</f>
        <v>encofrado (i/habilitacion de madera) p/muros reforzados</v>
      </c>
      <c r="C160" s="166" t="str">
        <f>+'3.cisterna'!D34</f>
        <v>m2</v>
      </c>
      <c r="D160" s="25">
        <f>+'3.cisterna'!L34</f>
        <v>23.76</v>
      </c>
    </row>
    <row r="161" spans="1:4" ht="12.75" customHeight="1">
      <c r="A161" s="312">
        <f>+'3.cisterna'!A37</f>
        <v>1.1603040599999992</v>
      </c>
      <c r="B161" s="165" t="str">
        <f>+'3.cisterna'!B37</f>
        <v>acero estruct. trabajado p/muros reforzados</v>
      </c>
      <c r="C161" s="166" t="str">
        <f>+'3.cisterna'!D37</f>
        <v>kg</v>
      </c>
      <c r="D161" s="25">
        <f>+'3.cisterna'!L37</f>
        <v>161.28000000000003</v>
      </c>
    </row>
    <row r="162" spans="1:4" ht="12.75" customHeight="1">
      <c r="A162" s="312">
        <f>+'3.cisterna'!A39</f>
        <v>1.1603040699999991</v>
      </c>
      <c r="B162" s="165" t="str">
        <f>+'3.cisterna'!B39</f>
        <v>concreto f'c=280 kg/cm2. para losa maciza  (cemento p-v)</v>
      </c>
      <c r="C162" s="166" t="str">
        <f>+'3.cisterna'!D39</f>
        <v>m3</v>
      </c>
      <c r="D162" s="25">
        <f>+'3.cisterna'!L39</f>
        <v>0.72600000000000009</v>
      </c>
    </row>
    <row r="163" spans="1:4" ht="12.75" customHeight="1">
      <c r="A163" s="312">
        <f>+'3.cisterna'!A42</f>
        <v>1.1603040799999991</v>
      </c>
      <c r="B163" s="165" t="str">
        <f>+'3.cisterna'!B42</f>
        <v>encofrado (i/habilitacion de madera) p/losa</v>
      </c>
      <c r="C163" s="166" t="str">
        <f>+'3.cisterna'!D42</f>
        <v>m2</v>
      </c>
      <c r="D163" s="25">
        <f>+'3.cisterna'!L42</f>
        <v>5.5200000000000005</v>
      </c>
    </row>
    <row r="164" spans="1:4" ht="12.75" customHeight="1">
      <c r="A164" s="312">
        <f>+'3.cisterna'!A46</f>
        <v>1.160304089999999</v>
      </c>
      <c r="B164" s="165" t="str">
        <f>+'3.cisterna'!B46</f>
        <v>acero estruct. trabajado p/losa</v>
      </c>
      <c r="C164" s="166" t="str">
        <f>+'3.cisterna'!D46</f>
        <v>kg</v>
      </c>
      <c r="D164" s="25">
        <f>+'3.cisterna'!L46</f>
        <v>52.528000000000006</v>
      </c>
    </row>
    <row r="165" spans="1:4" ht="12.75" customHeight="1">
      <c r="A165" s="311">
        <f>+'3.cisterna'!A48</f>
        <v>1.1603049999999995</v>
      </c>
      <c r="B165" s="163" t="str">
        <f>+'3.cisterna'!B48</f>
        <v>VARIOS</v>
      </c>
      <c r="C165" s="166"/>
      <c r="D165" s="25"/>
    </row>
    <row r="166" spans="1:4" ht="12.75" customHeight="1">
      <c r="A166" s="312">
        <f>+'3.cisterna'!A49</f>
        <v>1.1603050099999994</v>
      </c>
      <c r="B166" s="165" t="str">
        <f>+'3.cisterna'!B49</f>
        <v>Aplicación de 1ra. capa de Xypex concentrado p/impermeabilización interior de estructura hid.(3 x 1 agua)</v>
      </c>
      <c r="C166" s="166" t="str">
        <f>+'3.cisterna'!D49</f>
        <v>m2</v>
      </c>
      <c r="D166" s="25">
        <f>+'3.cisterna'!L49</f>
        <v>16.080000000000002</v>
      </c>
    </row>
    <row r="167" spans="1:4" ht="12.75" customHeight="1">
      <c r="A167" s="312">
        <f>+'3.cisterna'!A54</f>
        <v>1.1603050199999994</v>
      </c>
      <c r="B167" s="165" t="str">
        <f>+'3.cisterna'!B54</f>
        <v>Aplicación de 2da. capa de Xxypex concentrado p/impermeabilización interior de estructura hid.(5 x 2 agua)</v>
      </c>
      <c r="C167" s="166" t="str">
        <f>+'3.cisterna'!D54</f>
        <v>m2</v>
      </c>
      <c r="D167" s="25">
        <f>+'3.cisterna'!L54</f>
        <v>16.080000000000002</v>
      </c>
    </row>
    <row r="168" spans="1:4" ht="12.75" customHeight="1">
      <c r="A168" s="312">
        <f>+'3.cisterna'!A56</f>
        <v>1.1603050299999993</v>
      </c>
      <c r="B168" s="165" t="str">
        <f>+'3.cisterna'!B56</f>
        <v>Limpieza y desinfección de cisterna</v>
      </c>
      <c r="C168" s="166" t="str">
        <f>+'3.cisterna'!D56</f>
        <v>m2</v>
      </c>
      <c r="D168" s="25">
        <f>+'3.cisterna'!L56</f>
        <v>16.080000000000002</v>
      </c>
    </row>
    <row r="169" spans="1:4" ht="12.75" customHeight="1">
      <c r="A169" s="312">
        <f>+'3.cisterna'!A58</f>
        <v>1.1603050399999992</v>
      </c>
      <c r="B169" s="165" t="str">
        <f>+'3.cisterna'!B58</f>
        <v>Marco y tapa metalica tipo estriada  0.6x0.6m, con mecanismo de seguridad según especificación</v>
      </c>
      <c r="C169" s="166" t="str">
        <f>+'3.cisterna'!D58</f>
        <v>und</v>
      </c>
      <c r="D169" s="25">
        <f>+'3.cisterna'!L58</f>
        <v>1</v>
      </c>
    </row>
    <row r="170" spans="1:4" ht="12.75" customHeight="1">
      <c r="A170" s="312">
        <f>+'3.cisterna'!A60</f>
        <v>1.1603050499999992</v>
      </c>
      <c r="B170" s="165" t="str">
        <f>+'3.cisterna'!B60</f>
        <v>Prueba de calidad del concreto (prueba a la compresión)</v>
      </c>
      <c r="C170" s="166" t="str">
        <f>+'3.cisterna'!D60</f>
        <v>und</v>
      </c>
      <c r="D170" s="25">
        <f>+'3.cisterna'!L60</f>
        <v>1</v>
      </c>
    </row>
    <row r="171" spans="1:4" ht="12.75" customHeight="1">
      <c r="A171" s="311">
        <f>+'4.muro de contencion'!A8</f>
        <v>1.1603999999999999</v>
      </c>
      <c r="B171" s="163" t="str">
        <f>+'4.muro de contencion'!B8</f>
        <v>MURO DE CONTENCION</v>
      </c>
      <c r="C171" s="166"/>
      <c r="D171" s="25"/>
    </row>
    <row r="172" spans="1:4" ht="12.75" customHeight="1">
      <c r="A172" s="311">
        <f>+'4.muro de contencion'!A9</f>
        <v>1.1604009999999998</v>
      </c>
      <c r="B172" s="163" t="str">
        <f>+'4.muro de contencion'!B9</f>
        <v>OBRAS PROVISIONALES</v>
      </c>
      <c r="C172" s="166"/>
      <c r="D172" s="25"/>
    </row>
    <row r="173" spans="1:4" ht="12.75" customHeight="1">
      <c r="A173" s="312">
        <f>+'4.muro de contencion'!A10</f>
        <v>1.1604010099999997</v>
      </c>
      <c r="B173" s="165" t="str">
        <f>+'4.muro de contencion'!B10</f>
        <v>Trazo y replanteo inicial para muro</v>
      </c>
      <c r="C173" s="166" t="str">
        <f>+'4.muro de contencion'!D10</f>
        <v>m2</v>
      </c>
      <c r="D173" s="25">
        <f>+'4.muro de contencion'!L10</f>
        <v>39.748000000000005</v>
      </c>
    </row>
    <row r="174" spans="1:4" ht="12.75" customHeight="1">
      <c r="A174" s="312">
        <f>+'4.muro de contencion'!A12</f>
        <v>1.1604010199999997</v>
      </c>
      <c r="B174" s="165" t="str">
        <f>+'4.muro de contencion'!B12</f>
        <v>Replanteo final de obra de muro</v>
      </c>
      <c r="C174" s="166" t="str">
        <f>+'4.muro de contencion'!D12</f>
        <v>m2</v>
      </c>
      <c r="D174" s="25">
        <f>+'4.muro de contencion'!L12</f>
        <v>39.748000000000005</v>
      </c>
    </row>
    <row r="175" spans="1:4" ht="12.75" customHeight="1">
      <c r="A175" s="311">
        <f>+'4.muro de contencion'!A14</f>
        <v>1.1604019999999997</v>
      </c>
      <c r="B175" s="163" t="str">
        <f>+'4.muro de contencion'!B14</f>
        <v>MOVIMIENTO DE TIERRAS</v>
      </c>
      <c r="C175" s="166"/>
      <c r="D175" s="25"/>
    </row>
    <row r="176" spans="1:4" ht="12.75" customHeight="1">
      <c r="A176" s="312">
        <f>+'4.muro de contencion'!A15</f>
        <v>1.1604020099999997</v>
      </c>
      <c r="B176" s="165" t="str">
        <f>+'4.muro de contencion'!B15</f>
        <v>excavaciones en terreno normal saturado</v>
      </c>
      <c r="C176" s="166" t="str">
        <f>+'4.muro de contencion'!D15</f>
        <v>m3</v>
      </c>
      <c r="D176" s="25">
        <f>+'4.muro de contencion'!L15</f>
        <v>55.647199999999998</v>
      </c>
    </row>
    <row r="177" spans="1:4" ht="12.75" customHeight="1">
      <c r="A177" s="312">
        <f>+'4.muro de contencion'!A17</f>
        <v>1.1604020199999996</v>
      </c>
      <c r="B177" s="165" t="str">
        <f>+'4.muro de contencion'!B17</f>
        <v>refine, nivelacion y compactacion, en terreno</v>
      </c>
      <c r="C177" s="166" t="str">
        <f>+'4.muro de contencion'!D17</f>
        <v>m2</v>
      </c>
      <c r="D177" s="25">
        <f>+'4.muro de contencion'!L17</f>
        <v>39.748000000000005</v>
      </c>
    </row>
    <row r="178" spans="1:4" ht="12.75" customHeight="1">
      <c r="A178" s="312">
        <f>+'4.muro de contencion'!A19</f>
        <v>1.1604020299999995</v>
      </c>
      <c r="B178" s="165" t="str">
        <f>+'4.muro de contencion'!B19</f>
        <v>Relleno con material propio</v>
      </c>
      <c r="C178" s="166" t="str">
        <f>+'4.muro de contencion'!D19</f>
        <v>m3</v>
      </c>
      <c r="D178" s="25">
        <f>+'4.muro de contencion'!L19</f>
        <v>19.037200000000002</v>
      </c>
    </row>
    <row r="179" spans="1:4" ht="12.75" customHeight="1">
      <c r="A179" s="312">
        <f>+'4.muro de contencion'!A21</f>
        <v>1.1604020399999995</v>
      </c>
      <c r="B179" s="165" t="str">
        <f>+'4.muro de contencion'!B21</f>
        <v>Relleno con material de prestamo</v>
      </c>
      <c r="C179" s="166" t="str">
        <f>+'4.muro de contencion'!D21</f>
        <v>m3</v>
      </c>
      <c r="D179" s="25">
        <f>+'4.muro de contencion'!L21</f>
        <v>60.249600000000001</v>
      </c>
    </row>
    <row r="180" spans="1:4" ht="12.75" customHeight="1">
      <c r="A180" s="312">
        <f>+'4.muro de contencion'!A23</f>
        <v>1.1604020499999994</v>
      </c>
      <c r="B180" s="165" t="str">
        <f>+'4.muro de contencion'!B23</f>
        <v>eliminación de desmonte en terreno normal r=10 km con maquinaria</v>
      </c>
      <c r="C180" s="166" t="str">
        <f>+'4.muro de contencion'!D23</f>
        <v>m3</v>
      </c>
      <c r="D180" s="25">
        <f>+'4.muro de contencion'!L23</f>
        <v>43.931999999999995</v>
      </c>
    </row>
    <row r="181" spans="1:4" ht="12.75" customHeight="1">
      <c r="A181" s="311">
        <f>+'4.muro de contencion'!A25</f>
        <v>1.1604029999999996</v>
      </c>
      <c r="B181" s="163" t="str">
        <f>+'4.muro de contencion'!B25</f>
        <v>OBRAS DE CONCRETO SIMPLE</v>
      </c>
      <c r="C181" s="166"/>
      <c r="D181" s="25"/>
    </row>
    <row r="182" spans="1:4" ht="12.75" customHeight="1">
      <c r="A182" s="312">
        <f>+'4.muro de contencion'!A26</f>
        <v>1.1604030099999996</v>
      </c>
      <c r="B182" s="165" t="str">
        <f>+'4.muro de contencion'!B26</f>
        <v>concreto f'c=140 kg/cm2 para solados, e=0.10m</v>
      </c>
      <c r="C182" s="166" t="str">
        <f>+'4.muro de contencion'!D26</f>
        <v>m2</v>
      </c>
      <c r="D182" s="25">
        <f>+'4.muro de contencion'!L26</f>
        <v>39.748000000000005</v>
      </c>
    </row>
    <row r="183" spans="1:4" ht="12.75" customHeight="1">
      <c r="A183" s="311">
        <f>+'4.muro de contencion'!A28</f>
        <v>1.1604039999999995</v>
      </c>
      <c r="B183" s="163" t="str">
        <f>+'4.muro de contencion'!B28</f>
        <v>OBRAS DE CONCRETO ARMADO</v>
      </c>
      <c r="C183" s="166"/>
      <c r="D183" s="25"/>
    </row>
    <row r="184" spans="1:4" ht="12.75" customHeight="1">
      <c r="A184" s="312">
        <f>+'4.muro de contencion'!A29</f>
        <v>1.1604040099999995</v>
      </c>
      <c r="B184" s="165" t="str">
        <f>+'4.muro de contencion'!B29</f>
        <v>concreto f'c=350 kg/cm2. para losa de fondo  (cemento p-v)</v>
      </c>
      <c r="C184" s="166" t="str">
        <f>+'4.muro de contencion'!D29</f>
        <v>m3</v>
      </c>
      <c r="D184" s="25">
        <f>+'4.muro de contencion'!L29</f>
        <v>17.886600000000001</v>
      </c>
    </row>
    <row r="185" spans="1:4" ht="12.75" customHeight="1">
      <c r="A185" s="312">
        <f>+'4.muro de contencion'!A31</f>
        <v>1.1604040199999994</v>
      </c>
      <c r="B185" s="165" t="str">
        <f>+'4.muro de contencion'!B31</f>
        <v>encofrado (i/habilitacion de madera) p/losa de fondo</v>
      </c>
      <c r="C185" s="166" t="str">
        <f>+'4.muro de contencion'!D31</f>
        <v>m2</v>
      </c>
      <c r="D185" s="25">
        <f>+'4.muro de contencion'!L31</f>
        <v>20.538</v>
      </c>
    </row>
    <row r="186" spans="1:4" ht="12.75" customHeight="1">
      <c r="A186" s="312">
        <f>+'4.muro de contencion'!A33</f>
        <v>1.1604040299999994</v>
      </c>
      <c r="B186" s="165" t="str">
        <f>+'4.muro de contencion'!B33</f>
        <v>acero estruct. trabajado p/cimentacion</v>
      </c>
      <c r="C186" s="166" t="str">
        <f>+'4.muro de contencion'!D33</f>
        <v>kg</v>
      </c>
      <c r="D186" s="25">
        <f>+'4.muro de contencion'!L33</f>
        <v>951.6748</v>
      </c>
    </row>
    <row r="187" spans="1:4" ht="12.75" customHeight="1">
      <c r="A187" s="312">
        <f>+'4.muro de contencion'!A35</f>
        <v>1.1604040399999993</v>
      </c>
      <c r="B187" s="165" t="str">
        <f>+'4.muro de contencion'!B35</f>
        <v>concreto f'c=350 kg/cm2. para muro  (cemento p-v)</v>
      </c>
      <c r="C187" s="166" t="str">
        <f>+'4.muro de contencion'!D35</f>
        <v>m3</v>
      </c>
      <c r="D187" s="25">
        <f>+'4.muro de contencion'!L35</f>
        <v>24.267200000000006</v>
      </c>
    </row>
    <row r="188" spans="1:4" ht="12.75" customHeight="1">
      <c r="A188" s="312">
        <f>+'4.muro de contencion'!A38</f>
        <v>1.1604040499999992</v>
      </c>
      <c r="B188" s="165" t="str">
        <f>+'4.muro de contencion'!B38</f>
        <v xml:space="preserve">encofrado (i/habilitacion de madera) p/muro </v>
      </c>
      <c r="C188" s="166" t="str">
        <f>+'4.muro de contencion'!D38</f>
        <v>m2</v>
      </c>
      <c r="D188" s="25">
        <f>+'4.muro de contencion'!L38</f>
        <v>175.72800000000001</v>
      </c>
    </row>
    <row r="189" spans="1:4" ht="12.75" customHeight="1">
      <c r="A189" s="312">
        <f>+'4.muro de contencion'!A41</f>
        <v>1.1604040599999992</v>
      </c>
      <c r="B189" s="165" t="str">
        <f>+'4.muro de contencion'!B41</f>
        <v xml:space="preserve">acero estruct. trabajado p/muro </v>
      </c>
      <c r="C189" s="166" t="str">
        <f>+'4.muro de contencion'!D41</f>
        <v>kg</v>
      </c>
      <c r="D189" s="25">
        <f>+'4.muro de contencion'!L41</f>
        <v>1501.6027000000001</v>
      </c>
    </row>
    <row r="190" spans="1:4" ht="12.75" customHeight="1">
      <c r="A190" s="311">
        <f>+'4.muro de contencion'!A43</f>
        <v>1.1604049999999995</v>
      </c>
      <c r="B190" s="163" t="str">
        <f>+'4.muro de contencion'!B43</f>
        <v>VARIOS</v>
      </c>
      <c r="C190" s="166"/>
      <c r="D190" s="25"/>
    </row>
    <row r="191" spans="1:4" ht="12.75" customHeight="1">
      <c r="A191" s="312">
        <f>+'4.muro de contencion'!A44</f>
        <v>1.1604050099999994</v>
      </c>
      <c r="B191" s="165" t="str">
        <f>+'4.muro de contencion'!B44</f>
        <v>Prueba de calidad del concreto (prueba a la compresión)</v>
      </c>
      <c r="C191" s="166" t="str">
        <f>+'4.muro de contencion'!D44</f>
        <v>und</v>
      </c>
      <c r="D191" s="25">
        <f>+'4.muro de contencion'!L44</f>
        <v>14</v>
      </c>
    </row>
    <row r="192" spans="1:4" s="167" customFormat="1" ht="12.75" customHeight="1">
      <c r="A192" s="311">
        <f>+'5.-obras varias'!A8</f>
        <v>1.1604999999999999</v>
      </c>
      <c r="B192" s="163" t="str">
        <f>+'5.-obras varias'!B8</f>
        <v>CONSTRUCCION DE OBRAS VARIAS</v>
      </c>
      <c r="C192" s="24"/>
      <c r="D192" s="164"/>
    </row>
    <row r="193" spans="1:4" s="167" customFormat="1" ht="12.75" customHeight="1">
      <c r="A193" s="311">
        <f>+'5.-obras varias'!A9</f>
        <v>1.1605009999999998</v>
      </c>
      <c r="B193" s="163" t="str">
        <f>+'5.-obras varias'!B9</f>
        <v>TRABAJOS PRELIMINARES</v>
      </c>
      <c r="C193" s="166">
        <f>+'5.-obras varias'!D9</f>
        <v>0</v>
      </c>
      <c r="D193" s="25">
        <f>+'5.-obras varias'!L9</f>
        <v>0</v>
      </c>
    </row>
    <row r="194" spans="1:4" s="167" customFormat="1" ht="12.75" customHeight="1">
      <c r="A194" s="312">
        <f>+'5.-obras varias'!A10</f>
        <v>1.1605010099999997</v>
      </c>
      <c r="B194" s="165" t="str">
        <f>+'5.-obras varias'!B10</f>
        <v>Demolicion de escaleras de concreto</v>
      </c>
      <c r="C194" s="166" t="str">
        <f>+'5.-obras varias'!D10</f>
        <v>m3</v>
      </c>
      <c r="D194" s="25">
        <f>+'5.-obras varias'!L10</f>
        <v>1.50075</v>
      </c>
    </row>
    <row r="195" spans="1:4" s="167" customFormat="1" ht="12.75" customHeight="1">
      <c r="A195" s="312">
        <f>+'5.-obras varias'!A12</f>
        <v>1.1605010199999997</v>
      </c>
      <c r="B195" s="165" t="str">
        <f>+'5.-obras varias'!B12</f>
        <v>Eliminación desmonte por demoliciones</v>
      </c>
      <c r="C195" s="166" t="str">
        <f>+'5.-obras varias'!D12</f>
        <v>m3</v>
      </c>
      <c r="D195" s="25">
        <f>+'5.-obras varias'!L12</f>
        <v>1.50075</v>
      </c>
    </row>
    <row r="196" spans="1:4" s="167" customFormat="1" ht="12.75" customHeight="1">
      <c r="A196" s="311">
        <f>+'5.-obras varias'!A14</f>
        <v>1.1605019999999997</v>
      </c>
      <c r="B196" s="163" t="str">
        <f>+'5.-obras varias'!B14</f>
        <v>OBRAS PROVISIONALES</v>
      </c>
      <c r="C196" s="166">
        <f>+'5.-obras varias'!D14</f>
        <v>0</v>
      </c>
      <c r="D196" s="25">
        <f>+'5.-obras varias'!L14</f>
        <v>0</v>
      </c>
    </row>
    <row r="197" spans="1:4" ht="12.75" customHeight="1">
      <c r="A197" s="312">
        <f>+'5.-obras varias'!A15</f>
        <v>1.1605020099999996</v>
      </c>
      <c r="B197" s="165" t="str">
        <f>+'5.-obras varias'!B15</f>
        <v>trazo y replanteo inicial del proyecto</v>
      </c>
      <c r="C197" s="166" t="str">
        <f>+'5.-obras varias'!D15</f>
        <v>ml</v>
      </c>
      <c r="D197" s="25">
        <f>+'5.-obras varias'!L15</f>
        <v>196.20000000000002</v>
      </c>
    </row>
    <row r="198" spans="1:4" ht="12.75" customHeight="1">
      <c r="A198" s="312">
        <f>+'5.-obras varias'!A17</f>
        <v>1.1605020199999996</v>
      </c>
      <c r="B198" s="165" t="str">
        <f>+'5.-obras varias'!B17</f>
        <v>replanteo final de la obra</v>
      </c>
      <c r="C198" s="166" t="str">
        <f>+'5.-obras varias'!D17</f>
        <v>ml</v>
      </c>
      <c r="D198" s="25">
        <f>+'5.-obras varias'!L17</f>
        <v>196.20000000000002</v>
      </c>
    </row>
    <row r="199" spans="1:4" s="167" customFormat="1" ht="12.75" customHeight="1">
      <c r="A199" s="311">
        <f>+'5.-obras varias'!A19</f>
        <v>1.1605029999999996</v>
      </c>
      <c r="B199" s="163" t="str">
        <f>+'5.-obras varias'!B19</f>
        <v>MOVIMIENTO DE TIERRAS</v>
      </c>
      <c r="C199" s="24"/>
      <c r="D199" s="164"/>
    </row>
    <row r="200" spans="1:4" ht="12.75" customHeight="1">
      <c r="A200" s="312">
        <f>+'5.-obras varias'!A20</f>
        <v>1.1605030099999996</v>
      </c>
      <c r="B200" s="165" t="str">
        <f>+'5.-obras varias'!B20</f>
        <v>excavaciones en terreno normal</v>
      </c>
      <c r="C200" s="166" t="str">
        <f>+'5.-obras varias'!D20</f>
        <v>m3</v>
      </c>
      <c r="D200" s="25">
        <f>+'5.-obras varias'!L20</f>
        <v>1.3319999999999999</v>
      </c>
    </row>
    <row r="201" spans="1:4" ht="12.75" customHeight="1">
      <c r="A201" s="312">
        <f>+'5.-obras varias'!A22</f>
        <v>1.1605030199999995</v>
      </c>
      <c r="B201" s="165" t="str">
        <f>+'5.-obras varias'!B22</f>
        <v>refine, nivelacion y compactacion en terreno normal</v>
      </c>
      <c r="C201" s="166" t="str">
        <f>+'5.-obras varias'!D22</f>
        <v>m2</v>
      </c>
      <c r="D201" s="25">
        <f>+'5.-obras varias'!L22</f>
        <v>2.2200000000000002</v>
      </c>
    </row>
    <row r="202" spans="1:4" ht="12.75" customHeight="1">
      <c r="A202" s="312">
        <f>+'5.-obras varias'!A24</f>
        <v>1.1605030299999994</v>
      </c>
      <c r="B202" s="165" t="str">
        <f>+'5.-obras varias'!B24</f>
        <v>relleno con material propio</v>
      </c>
      <c r="C202" s="166" t="str">
        <f>+'5.-obras varias'!D24</f>
        <v>m3</v>
      </c>
      <c r="D202" s="25">
        <f>+'5.-obras varias'!L24</f>
        <v>1.0880000000000001</v>
      </c>
    </row>
    <row r="203" spans="1:4" ht="12.75" customHeight="1">
      <c r="A203" s="312">
        <f>+'5.-obras varias'!A26</f>
        <v>1.1605030399999994</v>
      </c>
      <c r="B203" s="165" t="str">
        <f>+'5.-obras varias'!B26</f>
        <v>eliminación de desmonte r=10 km con maquinaria</v>
      </c>
      <c r="C203" s="166" t="str">
        <f>+'5.-obras varias'!D26</f>
        <v>m3</v>
      </c>
      <c r="D203" s="25">
        <f>+'5.-obras varias'!L26</f>
        <v>0.29279999999999973</v>
      </c>
    </row>
    <row r="204" spans="1:4" s="167" customFormat="1" ht="12.75" customHeight="1">
      <c r="A204" s="311">
        <f>+'5.-obras varias'!A29</f>
        <v>1.1605039999999995</v>
      </c>
      <c r="B204" s="163" t="str">
        <f>+'5.-obras varias'!B29</f>
        <v>OBRAS DE CONCRETO SIMPLE</v>
      </c>
      <c r="C204" s="24"/>
      <c r="D204" s="164"/>
    </row>
    <row r="205" spans="1:4" ht="12.75" customHeight="1">
      <c r="A205" s="312">
        <f>+'5.-obras varias'!A30</f>
        <v>1.1605040099999995</v>
      </c>
      <c r="B205" s="165" t="str">
        <f>+'5.-obras varias'!B30</f>
        <v>solado e=0.1m</v>
      </c>
      <c r="C205" s="166" t="str">
        <f>+'5.-obras varias'!D30</f>
        <v>m3</v>
      </c>
      <c r="D205" s="25">
        <f>+'5.-obras varias'!L30</f>
        <v>2.2200000000000002</v>
      </c>
    </row>
    <row r="206" spans="1:4" ht="12.75" customHeight="1">
      <c r="A206" s="312">
        <f>+'5.-obras varias'!A32</f>
        <v>1.1605040199999994</v>
      </c>
      <c r="B206" s="165" t="str">
        <f>+'5.-obras varias'!B32</f>
        <v>concreto 1:10 + 30%pg p/cimientos (cemento p-V)</v>
      </c>
      <c r="C206" s="166" t="str">
        <f>+'5.-obras varias'!D32</f>
        <v>m3</v>
      </c>
      <c r="D206" s="25">
        <f>+'5.-obras varias'!L32</f>
        <v>1.3319999999999999</v>
      </c>
    </row>
    <row r="207" spans="1:4" ht="12.75" customHeight="1">
      <c r="A207" s="312">
        <f>+'5.-obras varias'!A34</f>
        <v>1.1605040299999994</v>
      </c>
      <c r="B207" s="165" t="str">
        <f>+'5.-obras varias'!B34</f>
        <v xml:space="preserve">encofrado y desencofrado (incl. habilit. madera) p/cimiento </v>
      </c>
      <c r="C207" s="166" t="str">
        <f>+'5.-obras varias'!D34</f>
        <v>m2</v>
      </c>
      <c r="D207" s="25">
        <f>+'5.-obras varias'!L34</f>
        <v>6.6599999999999993</v>
      </c>
    </row>
    <row r="208" spans="1:4" ht="12.75" customHeight="1">
      <c r="A208" s="312">
        <f>+'5.-obras varias'!A36</f>
        <v>1.1605040399999993</v>
      </c>
      <c r="B208" s="165" t="str">
        <f>+'5.-obras varias'!B36</f>
        <v>concreto f'c=280 kg/cm2. para escalera (cemento p-v)</v>
      </c>
      <c r="C208" s="166" t="str">
        <f>+'5.-obras varias'!D36</f>
        <v>m3</v>
      </c>
      <c r="D208" s="25">
        <f>+'5.-obras varias'!L36</f>
        <v>2.9112499999999999</v>
      </c>
    </row>
    <row r="209" spans="1:4" ht="12.75" customHeight="1">
      <c r="A209" s="312">
        <f>+'5.-obras varias'!A39</f>
        <v>1.1605040499999992</v>
      </c>
      <c r="B209" s="165" t="str">
        <f>+'5.-obras varias'!B39</f>
        <v>encofrado y desencofrado (i/habilitacion de madera)</v>
      </c>
      <c r="C209" s="166" t="str">
        <f>+'5.-obras varias'!D39</f>
        <v>m2</v>
      </c>
      <c r="D209" s="25">
        <f>+'5.-obras varias'!L39</f>
        <v>2.2400000000000002</v>
      </c>
    </row>
    <row r="210" spans="1:4" ht="12.75" customHeight="1">
      <c r="A210" s="311">
        <f>+'5.-obras varias'!A41</f>
        <v>1.1605049999999995</v>
      </c>
      <c r="B210" s="163" t="str">
        <f>+'5.-obras varias'!B41</f>
        <v>VARIOS</v>
      </c>
      <c r="C210" s="166"/>
      <c r="D210" s="25"/>
    </row>
    <row r="211" spans="1:4" ht="12.75" customHeight="1">
      <c r="A211" s="312">
        <f>+'5.-obras varias'!A42</f>
        <v>1.1605050099999994</v>
      </c>
      <c r="B211" s="165" t="str">
        <f>+'5.-obras varias'!B42</f>
        <v>Muro de mamposteria de piedra con mortero</v>
      </c>
      <c r="C211" s="166" t="str">
        <f>+'5.-obras varias'!D42</f>
        <v>m2</v>
      </c>
      <c r="D211" s="25">
        <f>+'5.-obras varias'!L42</f>
        <v>10.033624999999999</v>
      </c>
    </row>
    <row r="212" spans="1:4" ht="12.75" customHeight="1">
      <c r="A212" s="312">
        <f>+'5.-obras varias'!A46</f>
        <v>1.1605050199999993</v>
      </c>
      <c r="B212" s="165" t="str">
        <f>+'5.-obras varias'!B46</f>
        <v>jardineria, acondicionamiento y sembrio de cesped</v>
      </c>
      <c r="C212" s="166" t="str">
        <f>+'5.-obras varias'!D46</f>
        <v>m2</v>
      </c>
      <c r="D212" s="25">
        <f>+'5.-obras varias'!L46</f>
        <v>24.24</v>
      </c>
    </row>
    <row r="213" spans="1:4" ht="12.75" customHeight="1">
      <c r="A213" s="312">
        <f>+'5.-obras varias'!A48</f>
        <v>1.1605050299999993</v>
      </c>
      <c r="B213" s="165" t="str">
        <f>+'5.-obras varias'!B48</f>
        <v>prueba de calidad de concreto (prueba a la compresion)</v>
      </c>
      <c r="C213" s="166" t="str">
        <f>+'5.-obras varias'!D48</f>
        <v>und</v>
      </c>
      <c r="D213" s="25">
        <f>+'5.-obras varias'!L48</f>
        <v>1</v>
      </c>
    </row>
  </sheetData>
  <mergeCells count="2">
    <mergeCell ref="A1:D1"/>
    <mergeCell ref="B2:D2"/>
  </mergeCells>
  <printOptions horizontalCentered="1" gridLines="1"/>
  <pageMargins left="0.70866141732283472" right="0.70866141732283472" top="0.74803149606299213" bottom="0.74803149606299213" header="0.31496062992125984" footer="0.31496062992125984"/>
  <pageSetup scale="80" orientation="portrait" horizontalDpi="4294967293" verticalDpi="4294967294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694B42-5218-4058-AB6E-945642527DB1}">
  <sheetPr>
    <tabColor theme="3" tint="0.39997558519241921"/>
  </sheetPr>
  <dimension ref="A1:L88"/>
  <sheetViews>
    <sheetView view="pageBreakPreview" zoomScaleNormal="85" zoomScaleSheetLayoutView="100" workbookViewId="0">
      <selection activeCell="A8" sqref="A8"/>
    </sheetView>
  </sheetViews>
  <sheetFormatPr defaultColWidth="11.42578125" defaultRowHeight="12.75" customHeight="1"/>
  <cols>
    <col min="1" max="1" width="14.85546875" style="22" customWidth="1"/>
    <col min="2" max="3" width="27.85546875" style="22" customWidth="1"/>
    <col min="4" max="4" width="8" style="22" customWidth="1"/>
    <col min="5" max="5" width="7.28515625" style="22" customWidth="1"/>
    <col min="6" max="10" width="9.28515625" style="22" customWidth="1"/>
    <col min="11" max="12" width="10.42578125" style="36" customWidth="1"/>
    <col min="13" max="16384" width="11.42578125" style="4"/>
  </cols>
  <sheetData>
    <row r="1" spans="1:12" ht="18.75" customHeight="1">
      <c r="A1" s="332" t="s">
        <v>16</v>
      </c>
      <c r="B1" s="333"/>
      <c r="C1" s="333"/>
      <c r="D1" s="333"/>
      <c r="E1" s="333"/>
      <c r="F1" s="333"/>
      <c r="G1" s="333"/>
      <c r="H1" s="333"/>
      <c r="I1" s="333"/>
      <c r="J1" s="333"/>
      <c r="K1" s="333"/>
      <c r="L1" s="334"/>
    </row>
    <row r="2" spans="1:12" ht="12.75" customHeight="1">
      <c r="A2" s="219" t="s">
        <v>17</v>
      </c>
      <c r="B2" s="335" t="str">
        <f>+Resumen!B2</f>
        <v>ESTUDIO DEFINITIVO Y EXPEDIENTE TECNICO: AMPLIACION Y MEJORAMIENTO DE LOS SISTEMAS DE AGUA POTABLE Y ALCANTARILLADO DEL ESQUEMA PUCUSANA.</v>
      </c>
      <c r="C2" s="335"/>
      <c r="D2" s="335"/>
      <c r="E2" s="335"/>
      <c r="F2" s="335"/>
      <c r="G2" s="335"/>
      <c r="H2" s="335"/>
      <c r="I2" s="335"/>
      <c r="J2" s="335"/>
      <c r="K2" s="335"/>
      <c r="L2" s="336"/>
    </row>
    <row r="3" spans="1:12" ht="12.75" customHeight="1">
      <c r="A3" s="220" t="s">
        <v>5</v>
      </c>
      <c r="B3" s="207" t="s">
        <v>6</v>
      </c>
      <c r="C3" s="208"/>
      <c r="D3" s="209"/>
      <c r="E3" s="210"/>
      <c r="F3" s="208"/>
      <c r="G3" s="208"/>
      <c r="H3" s="208"/>
      <c r="I3" s="208"/>
      <c r="J3" s="208"/>
      <c r="K3" s="212"/>
      <c r="L3" s="221"/>
    </row>
    <row r="4" spans="1:12" ht="12.75" customHeight="1">
      <c r="A4" s="220" t="s">
        <v>7</v>
      </c>
      <c r="B4" s="207" t="s">
        <v>8</v>
      </c>
      <c r="C4" s="208"/>
      <c r="D4" s="209"/>
      <c r="E4" s="210"/>
      <c r="F4" s="208"/>
      <c r="G4" s="208"/>
      <c r="H4" s="208"/>
      <c r="I4" s="208"/>
      <c r="J4" s="208"/>
      <c r="K4" s="212"/>
      <c r="L4" s="221"/>
    </row>
    <row r="5" spans="1:12" ht="12.75" customHeight="1">
      <c r="A5" s="222" t="s">
        <v>11</v>
      </c>
      <c r="B5" s="213" t="s">
        <v>18</v>
      </c>
      <c r="C5" s="214"/>
      <c r="D5" s="215"/>
      <c r="E5" s="216"/>
      <c r="F5" s="214"/>
      <c r="G5" s="214"/>
      <c r="H5" s="214"/>
      <c r="I5" s="214"/>
      <c r="J5" s="214"/>
      <c r="K5" s="218"/>
      <c r="L5" s="223"/>
    </row>
    <row r="6" spans="1:12" ht="12.75" customHeight="1">
      <c r="A6" s="337" t="s">
        <v>19</v>
      </c>
      <c r="B6" s="337" t="s">
        <v>20</v>
      </c>
      <c r="C6" s="337"/>
      <c r="D6" s="337" t="s">
        <v>21</v>
      </c>
      <c r="E6" s="324" t="s">
        <v>22</v>
      </c>
      <c r="F6" s="337" t="s">
        <v>23</v>
      </c>
      <c r="G6" s="337"/>
      <c r="H6" s="337"/>
      <c r="I6" s="337"/>
      <c r="J6" s="337"/>
      <c r="K6" s="339" t="s">
        <v>24</v>
      </c>
      <c r="L6" s="339" t="s">
        <v>25</v>
      </c>
    </row>
    <row r="7" spans="1:12" ht="12.75" customHeight="1">
      <c r="A7" s="338"/>
      <c r="B7" s="338"/>
      <c r="C7" s="338"/>
      <c r="D7" s="338"/>
      <c r="E7" s="325" t="s">
        <v>26</v>
      </c>
      <c r="F7" s="325" t="s">
        <v>27</v>
      </c>
      <c r="G7" s="325" t="s">
        <v>28</v>
      </c>
      <c r="H7" s="325" t="s">
        <v>29</v>
      </c>
      <c r="I7" s="325" t="s">
        <v>30</v>
      </c>
      <c r="J7" s="325" t="s">
        <v>31</v>
      </c>
      <c r="K7" s="340"/>
      <c r="L7" s="340"/>
    </row>
    <row r="8" spans="1:12" ht="12.75" customHeight="1">
      <c r="A8" s="186">
        <v>1.1599999999999999</v>
      </c>
      <c r="B8" s="226" t="s">
        <v>32</v>
      </c>
      <c r="C8" s="225"/>
      <c r="D8" s="30"/>
      <c r="E8" s="30"/>
      <c r="F8" s="30"/>
      <c r="G8" s="30"/>
      <c r="H8" s="30"/>
      <c r="I8" s="30"/>
      <c r="J8" s="30"/>
      <c r="K8" s="31"/>
      <c r="L8" s="31"/>
    </row>
    <row r="9" spans="1:12" ht="12.75" customHeight="1">
      <c r="A9" s="186">
        <f>+A8+0.0001</f>
        <v>1.1600999999999999</v>
      </c>
      <c r="B9" s="226" t="s">
        <v>33</v>
      </c>
      <c r="C9" s="225"/>
      <c r="D9" s="30"/>
      <c r="E9" s="30"/>
      <c r="F9" s="30"/>
      <c r="G9" s="30"/>
      <c r="H9" s="30"/>
      <c r="I9" s="30"/>
      <c r="J9" s="30"/>
      <c r="K9" s="31"/>
      <c r="L9" s="31"/>
    </row>
    <row r="10" spans="1:12" s="62" customFormat="1" ht="12.75" customHeight="1">
      <c r="A10" s="188">
        <f>+A9+0.000001</f>
        <v>1.1601009999999998</v>
      </c>
      <c r="B10" s="226" t="s">
        <v>34</v>
      </c>
      <c r="C10" s="227"/>
      <c r="D10" s="6"/>
      <c r="E10" s="180"/>
      <c r="F10" s="8"/>
      <c r="G10" s="8"/>
      <c r="H10" s="8"/>
      <c r="I10" s="8"/>
      <c r="J10" s="8"/>
      <c r="K10" s="9"/>
      <c r="L10" s="20"/>
    </row>
    <row r="11" spans="1:12" s="62" customFormat="1" ht="12.75" customHeight="1">
      <c r="A11" s="187">
        <f>+A10+0.00000001</f>
        <v>1.1601010099999998</v>
      </c>
      <c r="B11" s="229" t="s">
        <v>35</v>
      </c>
      <c r="C11" s="228"/>
      <c r="D11" s="35" t="s">
        <v>36</v>
      </c>
      <c r="E11" s="13"/>
      <c r="F11" s="12"/>
      <c r="G11" s="14"/>
      <c r="H11" s="14"/>
      <c r="I11" s="14"/>
      <c r="J11" s="14"/>
      <c r="K11" s="15">
        <f>+SUM(K12)</f>
        <v>6.4268749999999999</v>
      </c>
      <c r="L11" s="16">
        <f>+K11</f>
        <v>6.4268749999999999</v>
      </c>
    </row>
    <row r="12" spans="1:12" s="62" customFormat="1" ht="12.75" customHeight="1">
      <c r="A12" s="116"/>
      <c r="B12" s="229"/>
      <c r="C12" s="228" t="s">
        <v>37</v>
      </c>
      <c r="D12" s="35" t="s">
        <v>36</v>
      </c>
      <c r="E12" s="13">
        <v>1</v>
      </c>
      <c r="F12" s="12"/>
      <c r="G12" s="14">
        <v>0.25</v>
      </c>
      <c r="H12" s="14">
        <v>5.65</v>
      </c>
      <c r="I12" s="14">
        <v>4.55</v>
      </c>
      <c r="J12" s="14"/>
      <c r="K12" s="15">
        <f>+PRODUCT(E12:J12)</f>
        <v>6.4268749999999999</v>
      </c>
      <c r="L12" s="16"/>
    </row>
    <row r="13" spans="1:12" s="62" customFormat="1" ht="12.75" customHeight="1">
      <c r="A13" s="187">
        <f>+A11+0.00000001</f>
        <v>1.1601010199999997</v>
      </c>
      <c r="B13" s="229" t="s">
        <v>38</v>
      </c>
      <c r="C13" s="228"/>
      <c r="D13" s="35" t="s">
        <v>36</v>
      </c>
      <c r="E13" s="13"/>
      <c r="F13" s="12"/>
      <c r="G13" s="14"/>
      <c r="H13" s="14"/>
      <c r="I13" s="14"/>
      <c r="J13" s="14"/>
      <c r="K13" s="15">
        <f>+SUM(K14:K15)</f>
        <v>5.4824999999999999</v>
      </c>
      <c r="L13" s="16">
        <f>+K13</f>
        <v>5.4824999999999999</v>
      </c>
    </row>
    <row r="14" spans="1:12" s="62" customFormat="1" ht="12.75" customHeight="1">
      <c r="A14" s="116"/>
      <c r="B14" s="229"/>
      <c r="C14" s="228" t="s">
        <v>39</v>
      </c>
      <c r="D14" s="35" t="s">
        <v>36</v>
      </c>
      <c r="E14" s="13">
        <v>1</v>
      </c>
      <c r="F14" s="12"/>
      <c r="G14" s="14">
        <v>2.15</v>
      </c>
      <c r="H14" s="14">
        <v>5.65</v>
      </c>
      <c r="I14" s="14">
        <v>0.25</v>
      </c>
      <c r="J14" s="14"/>
      <c r="K14" s="15">
        <f>+PRODUCT(E14:J14)</f>
        <v>3.0368750000000002</v>
      </c>
      <c r="L14" s="16"/>
    </row>
    <row r="15" spans="1:12" s="62" customFormat="1" ht="12.75" customHeight="1">
      <c r="A15" s="116"/>
      <c r="B15" s="229"/>
      <c r="C15" s="228" t="s">
        <v>39</v>
      </c>
      <c r="D15" s="35" t="s">
        <v>36</v>
      </c>
      <c r="E15" s="13">
        <v>1</v>
      </c>
      <c r="F15" s="12"/>
      <c r="G15" s="14">
        <v>2.15</v>
      </c>
      <c r="H15" s="14">
        <v>4.55</v>
      </c>
      <c r="I15" s="14">
        <v>0.25</v>
      </c>
      <c r="J15" s="14"/>
      <c r="K15" s="15">
        <f>+PRODUCT(E15:J15)</f>
        <v>2.4456249999999997</v>
      </c>
      <c r="L15" s="16"/>
    </row>
    <row r="16" spans="1:12" s="62" customFormat="1" ht="12.75" customHeight="1">
      <c r="A16" s="187">
        <f>+A13+0.00000001</f>
        <v>1.1601010299999996</v>
      </c>
      <c r="B16" s="229" t="s">
        <v>40</v>
      </c>
      <c r="C16" s="228"/>
      <c r="D16" s="35" t="s">
        <v>36</v>
      </c>
      <c r="E16" s="13"/>
      <c r="F16" s="12"/>
      <c r="G16" s="14"/>
      <c r="H16" s="14"/>
      <c r="I16" s="14"/>
      <c r="J16" s="14"/>
      <c r="K16" s="15">
        <f>+SUM(K17)</f>
        <v>5.1415000000000006</v>
      </c>
      <c r="L16" s="16">
        <f>+K16</f>
        <v>5.1415000000000006</v>
      </c>
    </row>
    <row r="17" spans="1:12" s="62" customFormat="1" ht="12.75" customHeight="1">
      <c r="A17" s="116"/>
      <c r="B17" s="229"/>
      <c r="C17" s="228" t="s">
        <v>41</v>
      </c>
      <c r="D17" s="35" t="s">
        <v>36</v>
      </c>
      <c r="E17" s="13">
        <v>1</v>
      </c>
      <c r="F17" s="12"/>
      <c r="G17" s="14">
        <v>0.2</v>
      </c>
      <c r="H17" s="14">
        <v>5.65</v>
      </c>
      <c r="I17" s="14">
        <v>4.55</v>
      </c>
      <c r="J17" s="14"/>
      <c r="K17" s="15">
        <f>+PRODUCT(E17:J17)</f>
        <v>5.1415000000000006</v>
      </c>
      <c r="L17" s="16"/>
    </row>
    <row r="18" spans="1:12" s="62" customFormat="1" ht="12.75" customHeight="1">
      <c r="A18" s="187">
        <f>+A16+0.00000001</f>
        <v>1.1601010399999996</v>
      </c>
      <c r="B18" s="229" t="s">
        <v>42</v>
      </c>
      <c r="C18" s="228"/>
      <c r="D18" s="35" t="s">
        <v>36</v>
      </c>
      <c r="E18" s="13"/>
      <c r="F18" s="12"/>
      <c r="G18" s="14"/>
      <c r="H18" s="14"/>
      <c r="I18" s="14"/>
      <c r="J18" s="14"/>
      <c r="K18" s="15">
        <f>+SUM(K19:K20)</f>
        <v>8.6625000000000014</v>
      </c>
      <c r="L18" s="16">
        <f>+K18</f>
        <v>8.6625000000000014</v>
      </c>
    </row>
    <row r="19" spans="1:12" s="62" customFormat="1" ht="12.75" customHeight="1">
      <c r="A19" s="116"/>
      <c r="B19" s="229"/>
      <c r="C19" s="228" t="s">
        <v>43</v>
      </c>
      <c r="D19" s="35" t="s">
        <v>36</v>
      </c>
      <c r="E19" s="13">
        <v>1</v>
      </c>
      <c r="F19" s="12"/>
      <c r="G19" s="14">
        <v>4.5</v>
      </c>
      <c r="H19" s="14">
        <v>4</v>
      </c>
      <c r="I19" s="14">
        <v>0.25</v>
      </c>
      <c r="J19" s="14"/>
      <c r="K19" s="15">
        <f>+PRODUCT(E19:J19)</f>
        <v>4.5</v>
      </c>
      <c r="L19" s="16"/>
    </row>
    <row r="20" spans="1:12" s="62" customFormat="1" ht="12.75" customHeight="1">
      <c r="A20" s="116"/>
      <c r="B20" s="229"/>
      <c r="C20" s="228" t="s">
        <v>43</v>
      </c>
      <c r="D20" s="35" t="s">
        <v>36</v>
      </c>
      <c r="E20" s="13">
        <v>1</v>
      </c>
      <c r="F20" s="12"/>
      <c r="G20" s="14">
        <v>4.5</v>
      </c>
      <c r="H20" s="14">
        <v>3.7</v>
      </c>
      <c r="I20" s="14">
        <v>0.25</v>
      </c>
      <c r="J20" s="14"/>
      <c r="K20" s="15">
        <f>+PRODUCT(E20:J20)</f>
        <v>4.1625000000000005</v>
      </c>
      <c r="L20" s="16"/>
    </row>
    <row r="21" spans="1:12" s="62" customFormat="1" ht="12.75" customHeight="1">
      <c r="A21" s="187">
        <f>+A18+0.00000001</f>
        <v>1.1601010499999995</v>
      </c>
      <c r="B21" s="229" t="s">
        <v>40</v>
      </c>
      <c r="C21" s="228"/>
      <c r="D21" s="35" t="s">
        <v>36</v>
      </c>
      <c r="E21" s="13"/>
      <c r="F21" s="12"/>
      <c r="G21" s="14"/>
      <c r="H21" s="14"/>
      <c r="I21" s="14"/>
      <c r="J21" s="14"/>
      <c r="K21" s="15">
        <f>+SUM(K22)</f>
        <v>2.9600000000000004</v>
      </c>
      <c r="L21" s="16">
        <f>+K21</f>
        <v>2.9600000000000004</v>
      </c>
    </row>
    <row r="22" spans="1:12" s="62" customFormat="1" ht="12.75" customHeight="1">
      <c r="A22" s="116"/>
      <c r="B22" s="229"/>
      <c r="C22" s="228" t="s">
        <v>41</v>
      </c>
      <c r="D22" s="35" t="s">
        <v>36</v>
      </c>
      <c r="E22" s="13">
        <v>1</v>
      </c>
      <c r="F22" s="12"/>
      <c r="G22" s="14">
        <v>0.2</v>
      </c>
      <c r="H22" s="14">
        <v>4</v>
      </c>
      <c r="I22" s="14">
        <v>3.7</v>
      </c>
      <c r="J22" s="14"/>
      <c r="K22" s="15">
        <f>+PRODUCT(E22:J22)</f>
        <v>2.9600000000000004</v>
      </c>
      <c r="L22" s="16"/>
    </row>
    <row r="23" spans="1:12" s="62" customFormat="1" ht="12.75" customHeight="1">
      <c r="A23" s="187">
        <f>+A21+0.00000001</f>
        <v>1.1601010599999995</v>
      </c>
      <c r="B23" s="229" t="s">
        <v>44</v>
      </c>
      <c r="C23" s="228"/>
      <c r="D23" s="35" t="s">
        <v>36</v>
      </c>
      <c r="E23" s="13"/>
      <c r="F23" s="12"/>
      <c r="G23" s="14"/>
      <c r="H23" s="14"/>
      <c r="I23" s="14"/>
      <c r="J23" s="14"/>
      <c r="K23" s="15">
        <f>+K24</f>
        <v>28.673375000000004</v>
      </c>
      <c r="L23" s="16">
        <f>+K23</f>
        <v>28.673375000000004</v>
      </c>
    </row>
    <row r="24" spans="1:12" s="62" customFormat="1" ht="12.75" customHeight="1">
      <c r="A24" s="120"/>
      <c r="B24" s="230"/>
      <c r="C24" s="231" t="s">
        <v>45</v>
      </c>
      <c r="D24" s="121" t="s">
        <v>36</v>
      </c>
      <c r="E24" s="85">
        <v>1</v>
      </c>
      <c r="F24" s="84"/>
      <c r="G24" s="86"/>
      <c r="H24" s="86"/>
      <c r="I24" s="86"/>
      <c r="J24" s="86"/>
      <c r="K24" s="95">
        <f>+L11+L13+L16+L18+L21</f>
        <v>28.673375000000004</v>
      </c>
      <c r="L24" s="87"/>
    </row>
    <row r="25" spans="1:12" s="62" customFormat="1" ht="12.75" customHeight="1">
      <c r="A25" s="188">
        <f>+A10+0.000001</f>
        <v>1.1601019999999997</v>
      </c>
      <c r="B25" s="226" t="s">
        <v>46</v>
      </c>
      <c r="C25" s="227"/>
      <c r="D25" s="6"/>
      <c r="E25" s="180"/>
      <c r="F25" s="8"/>
      <c r="G25" s="8"/>
      <c r="H25" s="8"/>
      <c r="I25" s="8"/>
      <c r="J25" s="8"/>
      <c r="K25" s="9"/>
      <c r="L25" s="20"/>
    </row>
    <row r="26" spans="1:12" s="62" customFormat="1" ht="12.75" customHeight="1">
      <c r="A26" s="187">
        <f>+A25+0.00000001</f>
        <v>1.1601020099999997</v>
      </c>
      <c r="B26" s="229" t="s">
        <v>47</v>
      </c>
      <c r="C26" s="228"/>
      <c r="D26" s="12" t="s">
        <v>48</v>
      </c>
      <c r="E26" s="131">
        <v>1</v>
      </c>
      <c r="F26" s="12"/>
      <c r="G26" s="14" t="s">
        <v>49</v>
      </c>
      <c r="H26" s="14" t="s">
        <v>49</v>
      </c>
      <c r="I26" s="14" t="s">
        <v>49</v>
      </c>
      <c r="J26" s="14"/>
      <c r="K26" s="16">
        <f>+PRODUCT(E26:J26)</f>
        <v>1</v>
      </c>
      <c r="L26" s="16">
        <f>+K26</f>
        <v>1</v>
      </c>
    </row>
    <row r="27" spans="1:12" s="62" customFormat="1" ht="12.75" customHeight="1">
      <c r="A27" s="187">
        <f>+A26+0.00000001</f>
        <v>1.1601020199999996</v>
      </c>
      <c r="B27" s="229" t="s">
        <v>50</v>
      </c>
      <c r="C27" s="228"/>
      <c r="D27" s="12" t="s">
        <v>48</v>
      </c>
      <c r="E27" s="131">
        <v>1</v>
      </c>
      <c r="F27" s="12"/>
      <c r="G27" s="14" t="s">
        <v>49</v>
      </c>
      <c r="H27" s="14" t="s">
        <v>49</v>
      </c>
      <c r="I27" s="14" t="s">
        <v>49</v>
      </c>
      <c r="J27" s="14"/>
      <c r="K27" s="16">
        <f>+PRODUCT(E27:J27)</f>
        <v>1</v>
      </c>
      <c r="L27" s="16">
        <f>+K27</f>
        <v>1</v>
      </c>
    </row>
    <row r="28" spans="1:12" s="62" customFormat="1" ht="12.75" customHeight="1">
      <c r="A28" s="188">
        <f>+A25+0.000001</f>
        <v>1.1601029999999997</v>
      </c>
      <c r="B28" s="226" t="s">
        <v>51</v>
      </c>
      <c r="C28" s="227"/>
      <c r="D28" s="6"/>
      <c r="E28" s="7"/>
      <c r="F28" s="8"/>
      <c r="G28" s="8"/>
      <c r="H28" s="8"/>
      <c r="I28" s="8"/>
      <c r="J28" s="8"/>
      <c r="K28" s="9"/>
      <c r="L28" s="20"/>
    </row>
    <row r="29" spans="1:12" s="62" customFormat="1" ht="12.75" customHeight="1">
      <c r="A29" s="187">
        <f>+A28+0.00000001</f>
        <v>1.1601030099999996</v>
      </c>
      <c r="B29" s="229" t="s">
        <v>52</v>
      </c>
      <c r="C29" s="228"/>
      <c r="D29" s="12" t="s">
        <v>36</v>
      </c>
      <c r="E29" s="13"/>
      <c r="F29" s="14"/>
      <c r="G29" s="14"/>
      <c r="H29" s="14"/>
      <c r="I29" s="14"/>
      <c r="J29" s="14"/>
      <c r="K29" s="16">
        <f>SUM(K30:K30)</f>
        <v>66.083500000000001</v>
      </c>
      <c r="L29" s="16">
        <f>K29</f>
        <v>66.083500000000001</v>
      </c>
    </row>
    <row r="30" spans="1:12" s="62" customFormat="1" ht="12.75" customHeight="1">
      <c r="A30" s="116"/>
      <c r="B30" s="229"/>
      <c r="C30" s="228" t="s">
        <v>53</v>
      </c>
      <c r="D30" s="12"/>
      <c r="E30" s="13">
        <v>1</v>
      </c>
      <c r="F30" s="12"/>
      <c r="G30" s="14">
        <v>5.53</v>
      </c>
      <c r="H30" s="14" t="s">
        <v>49</v>
      </c>
      <c r="I30" s="14" t="s">
        <v>49</v>
      </c>
      <c r="J30" s="14">
        <v>11.95</v>
      </c>
      <c r="K30" s="15">
        <f>PRODUCT(E30:J30)</f>
        <v>66.083500000000001</v>
      </c>
      <c r="L30" s="16"/>
    </row>
    <row r="31" spans="1:12" s="62" customFormat="1" ht="12.75" customHeight="1">
      <c r="A31" s="187">
        <f>+A29+0.00000001</f>
        <v>1.1601030199999995</v>
      </c>
      <c r="B31" s="229" t="s">
        <v>54</v>
      </c>
      <c r="C31" s="232"/>
      <c r="D31" s="12" t="s">
        <v>55</v>
      </c>
      <c r="E31" s="13"/>
      <c r="F31" s="12"/>
      <c r="G31" s="12"/>
      <c r="H31" s="12"/>
      <c r="I31" s="12"/>
      <c r="J31" s="12"/>
      <c r="K31" s="16">
        <f>SUM(K32:K32)</f>
        <v>7.07</v>
      </c>
      <c r="L31" s="17">
        <f>+K31</f>
        <v>7.07</v>
      </c>
    </row>
    <row r="32" spans="1:12" s="62" customFormat="1" ht="12.75" customHeight="1">
      <c r="A32" s="116"/>
      <c r="B32" s="229"/>
      <c r="C32" s="228" t="s">
        <v>56</v>
      </c>
      <c r="D32" s="12"/>
      <c r="E32" s="13"/>
      <c r="F32" s="12"/>
      <c r="G32" s="14" t="s">
        <v>49</v>
      </c>
      <c r="H32" s="14" t="str">
        <f>+H30</f>
        <v>-</v>
      </c>
      <c r="I32" s="14" t="str">
        <f>+I30</f>
        <v>-</v>
      </c>
      <c r="J32" s="14">
        <v>7.07</v>
      </c>
      <c r="K32" s="15">
        <f>PRODUCT(E32:J32)</f>
        <v>7.07</v>
      </c>
      <c r="L32" s="17"/>
    </row>
    <row r="33" spans="1:12" s="62" customFormat="1" ht="12.75" customHeight="1">
      <c r="A33" s="187">
        <f>+A31+0.00000001</f>
        <v>1.1601030299999995</v>
      </c>
      <c r="B33" s="229" t="s">
        <v>57</v>
      </c>
      <c r="C33" s="228"/>
      <c r="D33" s="12" t="s">
        <v>36</v>
      </c>
      <c r="E33" s="13"/>
      <c r="F33" s="12"/>
      <c r="G33" s="14"/>
      <c r="H33" s="14"/>
      <c r="I33" s="14"/>
      <c r="J33" s="14"/>
      <c r="K33" s="16">
        <f>+SUM(K34:K34)</f>
        <v>85.908550000000005</v>
      </c>
      <c r="L33" s="16">
        <f>+K33</f>
        <v>85.908550000000005</v>
      </c>
    </row>
    <row r="34" spans="1:12" s="62" customFormat="1" ht="12.75" customHeight="1">
      <c r="A34" s="120"/>
      <c r="B34" s="230"/>
      <c r="C34" s="231" t="s">
        <v>58</v>
      </c>
      <c r="D34" s="84"/>
      <c r="E34" s="84">
        <v>1.3</v>
      </c>
      <c r="F34" s="100"/>
      <c r="G34" s="86" t="s">
        <v>49</v>
      </c>
      <c r="H34" s="86" t="s">
        <v>49</v>
      </c>
      <c r="I34" s="86" t="s">
        <v>59</v>
      </c>
      <c r="J34" s="86">
        <f>+L29</f>
        <v>66.083500000000001</v>
      </c>
      <c r="K34" s="95">
        <f>+PRODUCT(E34:J34)</f>
        <v>85.908550000000005</v>
      </c>
      <c r="L34" s="87"/>
    </row>
    <row r="35" spans="1:12" s="62" customFormat="1" ht="12.75" customHeight="1">
      <c r="A35" s="188">
        <f>+A28+0.000001</f>
        <v>1.1601039999999996</v>
      </c>
      <c r="B35" s="226" t="s">
        <v>60</v>
      </c>
      <c r="C35" s="227"/>
      <c r="D35" s="6"/>
      <c r="E35" s="6"/>
      <c r="F35" s="6"/>
      <c r="G35" s="6"/>
      <c r="H35" s="6"/>
      <c r="I35" s="6"/>
      <c r="J35" s="6"/>
      <c r="K35" s="23"/>
      <c r="L35" s="23"/>
    </row>
    <row r="36" spans="1:12" s="62" customFormat="1" ht="12.75" customHeight="1">
      <c r="A36" s="187">
        <f>+A35+0.00000001</f>
        <v>1.1601040099999995</v>
      </c>
      <c r="B36" s="229" t="s">
        <v>61</v>
      </c>
      <c r="C36" s="228"/>
      <c r="D36" s="12" t="s">
        <v>36</v>
      </c>
      <c r="E36" s="12"/>
      <c r="F36" s="12"/>
      <c r="G36" s="12"/>
      <c r="H36" s="12"/>
      <c r="I36" s="12"/>
      <c r="J36" s="12"/>
      <c r="K36" s="17">
        <f>+SUM(K37:K37)</f>
        <v>7.6754999999999995</v>
      </c>
      <c r="L36" s="17">
        <f>+K36</f>
        <v>7.6754999999999995</v>
      </c>
    </row>
    <row r="37" spans="1:12" s="62" customFormat="1" ht="12.75" customHeight="1">
      <c r="A37" s="200"/>
      <c r="B37" s="229"/>
      <c r="C37" s="228" t="s">
        <v>62</v>
      </c>
      <c r="D37" s="12" t="s">
        <v>36</v>
      </c>
      <c r="E37" s="12"/>
      <c r="F37" s="12"/>
      <c r="G37" s="18">
        <v>1.05</v>
      </c>
      <c r="H37" s="14" t="s">
        <v>49</v>
      </c>
      <c r="I37" s="14" t="s">
        <v>49</v>
      </c>
      <c r="J37" s="14">
        <v>7.31</v>
      </c>
      <c r="K37" s="15">
        <f>+PRODUCT(E37:J37)</f>
        <v>7.6754999999999995</v>
      </c>
      <c r="L37" s="37"/>
    </row>
    <row r="38" spans="1:12" s="62" customFormat="1" ht="12.75" customHeight="1">
      <c r="A38" s="188">
        <f>+A35+0.000001</f>
        <v>1.1601049999999995</v>
      </c>
      <c r="B38" s="226" t="s">
        <v>63</v>
      </c>
      <c r="C38" s="227"/>
      <c r="D38" s="6"/>
      <c r="E38" s="6"/>
      <c r="F38" s="6"/>
      <c r="G38" s="6"/>
      <c r="H38" s="6"/>
      <c r="I38" s="6"/>
      <c r="J38" s="8"/>
      <c r="K38" s="20"/>
      <c r="L38" s="23"/>
    </row>
    <row r="39" spans="1:12" s="62" customFormat="1" ht="12.75" customHeight="1">
      <c r="A39" s="187">
        <f>+A38+0.00000001</f>
        <v>1.1601050099999994</v>
      </c>
      <c r="B39" s="229" t="s">
        <v>64</v>
      </c>
      <c r="C39" s="232"/>
      <c r="D39" s="13" t="s">
        <v>36</v>
      </c>
      <c r="E39" s="13"/>
      <c r="F39" s="14"/>
      <c r="G39" s="14"/>
      <c r="H39" s="14"/>
      <c r="I39" s="14"/>
      <c r="J39" s="14"/>
      <c r="K39" s="16">
        <f>SUM(K40:K40)</f>
        <v>8.1037572000000004</v>
      </c>
      <c r="L39" s="16">
        <f>K39</f>
        <v>8.1037572000000004</v>
      </c>
    </row>
    <row r="40" spans="1:12" s="62" customFormat="1" ht="12.75" customHeight="1">
      <c r="A40" s="116"/>
      <c r="B40" s="229"/>
      <c r="C40" s="228" t="s">
        <v>65</v>
      </c>
      <c r="D40" s="13"/>
      <c r="E40" s="13">
        <v>1</v>
      </c>
      <c r="F40" s="12">
        <v>3.1415999999999999</v>
      </c>
      <c r="G40" s="14" t="s">
        <v>49</v>
      </c>
      <c r="H40" s="14">
        <v>3.35</v>
      </c>
      <c r="I40" s="14" t="s">
        <v>49</v>
      </c>
      <c r="J40" s="14">
        <v>0.77</v>
      </c>
      <c r="K40" s="15">
        <f>PRODUCT(E40:J40)</f>
        <v>8.1037572000000004</v>
      </c>
      <c r="L40" s="16"/>
    </row>
    <row r="41" spans="1:12" s="62" customFormat="1" ht="12.75" customHeight="1">
      <c r="A41" s="187">
        <f>+A39+0.00000001</f>
        <v>1.1601050199999994</v>
      </c>
      <c r="B41" s="229" t="s">
        <v>66</v>
      </c>
      <c r="C41" s="232"/>
      <c r="D41" s="12" t="s">
        <v>55</v>
      </c>
      <c r="E41" s="13"/>
      <c r="F41" s="14"/>
      <c r="G41" s="14"/>
      <c r="H41" s="14"/>
      <c r="I41" s="14"/>
      <c r="J41" s="14"/>
      <c r="K41" s="16">
        <f>+SUM(K42:K42)</f>
        <v>44.307555600000001</v>
      </c>
      <c r="L41" s="16">
        <f>K41</f>
        <v>44.307555600000001</v>
      </c>
    </row>
    <row r="42" spans="1:12" s="62" customFormat="1" ht="12.75" customHeight="1">
      <c r="A42" s="116"/>
      <c r="B42" s="229"/>
      <c r="C42" s="228"/>
      <c r="D42" s="12"/>
      <c r="E42" s="13">
        <v>1</v>
      </c>
      <c r="F42" s="12">
        <v>3.1415999999999999</v>
      </c>
      <c r="G42" s="14" t="s">
        <v>49</v>
      </c>
      <c r="H42" s="14">
        <v>3.35</v>
      </c>
      <c r="I42" s="14">
        <v>4.21</v>
      </c>
      <c r="J42" s="14"/>
      <c r="K42" s="15">
        <f>PRODUCT(E42:J42)</f>
        <v>44.307555600000001</v>
      </c>
      <c r="L42" s="16"/>
    </row>
    <row r="43" spans="1:12" s="62" customFormat="1" ht="12.75" customHeight="1">
      <c r="A43" s="187">
        <f>+A41+0.00000001</f>
        <v>1.1601050299999993</v>
      </c>
      <c r="B43" s="229" t="s">
        <v>67</v>
      </c>
      <c r="C43" s="228"/>
      <c r="D43" s="12" t="s">
        <v>68</v>
      </c>
      <c r="E43" s="13"/>
      <c r="F43" s="10"/>
      <c r="G43" s="14"/>
      <c r="H43" s="14"/>
      <c r="I43" s="14"/>
      <c r="J43" s="14"/>
      <c r="K43" s="16">
        <f>+SUM(K44:K44)</f>
        <v>1190.374</v>
      </c>
      <c r="L43" s="16">
        <f>+K43</f>
        <v>1190.374</v>
      </c>
    </row>
    <row r="44" spans="1:12" s="62" customFormat="1" ht="12.75" customHeight="1">
      <c r="A44" s="116"/>
      <c r="B44" s="229"/>
      <c r="C44" s="228" t="s">
        <v>69</v>
      </c>
      <c r="D44" s="12"/>
      <c r="E44" s="13">
        <v>1</v>
      </c>
      <c r="F44" s="12">
        <v>7850</v>
      </c>
      <c r="G44" s="14"/>
      <c r="H44" s="14">
        <v>11.15</v>
      </c>
      <c r="I44" s="14"/>
      <c r="J44" s="14">
        <f>0.0038+0.0033+0.0065</f>
        <v>1.3600000000000001E-2</v>
      </c>
      <c r="K44" s="15">
        <f>PRODUCT(E44:J44)</f>
        <v>1190.374</v>
      </c>
      <c r="L44" s="16"/>
    </row>
    <row r="45" spans="1:12" s="62" customFormat="1" ht="12.75" customHeight="1">
      <c r="A45" s="187">
        <f>+A43+0.00000001</f>
        <v>1.1601050399999993</v>
      </c>
      <c r="B45" s="229" t="s">
        <v>70</v>
      </c>
      <c r="C45" s="228"/>
      <c r="D45" s="12" t="s">
        <v>68</v>
      </c>
      <c r="E45" s="13"/>
      <c r="F45" s="10"/>
      <c r="G45" s="14"/>
      <c r="H45" s="14"/>
      <c r="I45" s="14"/>
      <c r="J45" s="14"/>
      <c r="K45" s="16">
        <f>+SUM(K46:K46)</f>
        <v>195.90700000000001</v>
      </c>
      <c r="L45" s="16">
        <f>+K45</f>
        <v>195.90700000000001</v>
      </c>
    </row>
    <row r="46" spans="1:12" s="62" customFormat="1" ht="12.75" customHeight="1">
      <c r="A46" s="116"/>
      <c r="B46" s="229"/>
      <c r="C46" s="228" t="s">
        <v>71</v>
      </c>
      <c r="D46" s="12"/>
      <c r="E46" s="13"/>
      <c r="F46" s="12"/>
      <c r="G46" s="14"/>
      <c r="H46" s="14"/>
      <c r="I46" s="14"/>
      <c r="J46" s="14"/>
      <c r="K46" s="15">
        <f>+'6.acero'!O11</f>
        <v>195.90700000000001</v>
      </c>
      <c r="L46" s="16"/>
    </row>
    <row r="47" spans="1:12" s="62" customFormat="1" ht="12.75" customHeight="1">
      <c r="A47" s="187">
        <f>+A45+0.00000001</f>
        <v>1.1601050499999992</v>
      </c>
      <c r="B47" s="229" t="s">
        <v>72</v>
      </c>
      <c r="C47" s="232"/>
      <c r="D47" s="13" t="s">
        <v>36</v>
      </c>
      <c r="E47" s="13"/>
      <c r="F47" s="14"/>
      <c r="G47" s="14"/>
      <c r="H47" s="14"/>
      <c r="I47" s="14"/>
      <c r="J47" s="14"/>
      <c r="K47" s="16">
        <f>SUM(K48:K48)</f>
        <v>2.1929999999999996</v>
      </c>
      <c r="L47" s="16">
        <f>K47</f>
        <v>2.1929999999999996</v>
      </c>
    </row>
    <row r="48" spans="1:12" s="62" customFormat="1" ht="12.75" customHeight="1">
      <c r="A48" s="116"/>
      <c r="B48" s="229"/>
      <c r="C48" s="228" t="s">
        <v>65</v>
      </c>
      <c r="D48" s="13"/>
      <c r="E48" s="13">
        <v>1</v>
      </c>
      <c r="F48" s="12"/>
      <c r="G48" s="14">
        <v>0.3</v>
      </c>
      <c r="H48" s="14" t="s">
        <v>49</v>
      </c>
      <c r="I48" s="14" t="s">
        <v>49</v>
      </c>
      <c r="J48" s="14">
        <v>7.31</v>
      </c>
      <c r="K48" s="15">
        <f>PRODUCT(E48:J48)</f>
        <v>2.1929999999999996</v>
      </c>
      <c r="L48" s="16"/>
    </row>
    <row r="49" spans="1:12" s="62" customFormat="1" ht="12.75" customHeight="1">
      <c r="A49" s="187">
        <f>+A47+0.00000001</f>
        <v>1.1601050599999991</v>
      </c>
      <c r="B49" s="229" t="s">
        <v>73</v>
      </c>
      <c r="C49" s="228"/>
      <c r="D49" s="12" t="s">
        <v>68</v>
      </c>
      <c r="E49" s="13"/>
      <c r="F49" s="10"/>
      <c r="G49" s="14"/>
      <c r="H49" s="14"/>
      <c r="I49" s="14"/>
      <c r="J49" s="14"/>
      <c r="K49" s="16">
        <f>+SUM(K50:K50)</f>
        <v>165.84479999999999</v>
      </c>
      <c r="L49" s="16">
        <f>+K49</f>
        <v>165.84479999999999</v>
      </c>
    </row>
    <row r="50" spans="1:12" s="62" customFormat="1" ht="12.75" customHeight="1">
      <c r="A50" s="116"/>
      <c r="B50" s="229"/>
      <c r="C50" s="228" t="s">
        <v>71</v>
      </c>
      <c r="D50" s="12"/>
      <c r="E50" s="13"/>
      <c r="F50" s="12"/>
      <c r="G50" s="14"/>
      <c r="H50" s="14"/>
      <c r="I50" s="14"/>
      <c r="J50" s="14"/>
      <c r="K50" s="15">
        <f>+'6.acero'!O15</f>
        <v>165.84479999999999</v>
      </c>
      <c r="L50" s="16"/>
    </row>
    <row r="51" spans="1:12" s="62" customFormat="1" ht="12.75" customHeight="1">
      <c r="A51" s="187">
        <f>+A49+0.00000001</f>
        <v>1.1601050699999991</v>
      </c>
      <c r="B51" s="229" t="s">
        <v>74</v>
      </c>
      <c r="C51" s="232"/>
      <c r="D51" s="13" t="s">
        <v>36</v>
      </c>
      <c r="E51" s="13"/>
      <c r="F51" s="14"/>
      <c r="G51" s="14"/>
      <c r="H51" s="14"/>
      <c r="I51" s="14"/>
      <c r="J51" s="14"/>
      <c r="K51" s="16">
        <f>SUM(K52:K54)</f>
        <v>18.127309999999998</v>
      </c>
      <c r="L51" s="16">
        <f>K51</f>
        <v>18.127309999999998</v>
      </c>
    </row>
    <row r="52" spans="1:12" s="62" customFormat="1" ht="12.75" customHeight="1">
      <c r="A52" s="116"/>
      <c r="B52" s="229"/>
      <c r="C52" s="228" t="s">
        <v>75</v>
      </c>
      <c r="D52" s="12"/>
      <c r="E52" s="13">
        <v>1</v>
      </c>
      <c r="F52" s="18"/>
      <c r="G52" s="14">
        <v>3.83</v>
      </c>
      <c r="H52" s="14">
        <v>10.52</v>
      </c>
      <c r="I52" s="14">
        <v>0.35</v>
      </c>
      <c r="J52" s="14"/>
      <c r="K52" s="15">
        <f>PRODUCT(E52:J52)</f>
        <v>14.10206</v>
      </c>
      <c r="L52" s="16"/>
    </row>
    <row r="53" spans="1:12" s="62" customFormat="1" ht="12.75" customHeight="1">
      <c r="A53" s="116"/>
      <c r="B53" s="229"/>
      <c r="C53" s="228" t="s">
        <v>76</v>
      </c>
      <c r="D53" s="12"/>
      <c r="E53" s="13">
        <v>1</v>
      </c>
      <c r="F53" s="18"/>
      <c r="G53" s="14">
        <v>4.33</v>
      </c>
      <c r="H53" s="14">
        <v>2.9</v>
      </c>
      <c r="I53" s="14">
        <v>0.25</v>
      </c>
      <c r="J53" s="102"/>
      <c r="K53" s="15">
        <f>PRODUCT(E53:J53)</f>
        <v>3.1392500000000001</v>
      </c>
      <c r="L53" s="16"/>
    </row>
    <row r="54" spans="1:12" s="62" customFormat="1" ht="12.75" customHeight="1">
      <c r="A54" s="116"/>
      <c r="B54" s="229"/>
      <c r="C54" s="228" t="s">
        <v>77</v>
      </c>
      <c r="D54" s="12"/>
      <c r="E54" s="13">
        <v>1</v>
      </c>
      <c r="F54" s="18"/>
      <c r="G54" s="14">
        <v>0.2</v>
      </c>
      <c r="H54" s="14" t="s">
        <v>49</v>
      </c>
      <c r="I54" s="14" t="s">
        <v>49</v>
      </c>
      <c r="J54" s="14">
        <v>4.43</v>
      </c>
      <c r="K54" s="15">
        <f>PRODUCT(E54:J54)</f>
        <v>0.88600000000000001</v>
      </c>
      <c r="L54" s="16"/>
    </row>
    <row r="55" spans="1:12" s="62" customFormat="1" ht="12.75" customHeight="1">
      <c r="A55" s="187">
        <f>+A51+0.00000001</f>
        <v>1.160105079999999</v>
      </c>
      <c r="B55" s="229" t="s">
        <v>78</v>
      </c>
      <c r="C55" s="232"/>
      <c r="D55" s="12" t="s">
        <v>55</v>
      </c>
      <c r="E55" s="13"/>
      <c r="F55" s="14"/>
      <c r="G55" s="14"/>
      <c r="H55" s="14"/>
      <c r="I55" s="14"/>
      <c r="J55" s="14"/>
      <c r="K55" s="16">
        <f>+SUM(K56:K59)</f>
        <v>117.83420000000001</v>
      </c>
      <c r="L55" s="16">
        <f>K55</f>
        <v>117.83420000000001</v>
      </c>
    </row>
    <row r="56" spans="1:12" s="62" customFormat="1" ht="12.75" customHeight="1">
      <c r="A56" s="116"/>
      <c r="B56" s="229"/>
      <c r="C56" s="228" t="s">
        <v>79</v>
      </c>
      <c r="D56" s="12"/>
      <c r="E56" s="13">
        <v>1</v>
      </c>
      <c r="F56" s="18"/>
      <c r="G56" s="14">
        <f>+G52+0.5</f>
        <v>4.33</v>
      </c>
      <c r="H56" s="14">
        <v>9.42</v>
      </c>
      <c r="I56" s="14" t="s">
        <v>49</v>
      </c>
      <c r="J56" s="102"/>
      <c r="K56" s="15">
        <f>PRODUCT(E56:J56)</f>
        <v>40.788600000000002</v>
      </c>
      <c r="L56" s="16"/>
    </row>
    <row r="57" spans="1:12" s="62" customFormat="1" ht="12.75" customHeight="1">
      <c r="A57" s="116"/>
      <c r="B57" s="229"/>
      <c r="C57" s="228" t="s">
        <v>80</v>
      </c>
      <c r="D57" s="12"/>
      <c r="E57" s="13">
        <v>1</v>
      </c>
      <c r="F57" s="18"/>
      <c r="G57" s="14">
        <f>+G56</f>
        <v>4.33</v>
      </c>
      <c r="H57" s="14">
        <v>11.62</v>
      </c>
      <c r="I57" s="14" t="s">
        <v>49</v>
      </c>
      <c r="J57" s="102"/>
      <c r="K57" s="15">
        <f>PRODUCT(E57:J57)</f>
        <v>50.314599999999999</v>
      </c>
      <c r="L57" s="16"/>
    </row>
    <row r="58" spans="1:12" s="62" customFormat="1" ht="12.75" customHeight="1">
      <c r="A58" s="116"/>
      <c r="B58" s="229"/>
      <c r="C58" s="228" t="s">
        <v>81</v>
      </c>
      <c r="D58" s="12"/>
      <c r="E58" s="13">
        <v>2</v>
      </c>
      <c r="F58" s="18"/>
      <c r="G58" s="14">
        <f>+G53</f>
        <v>4.33</v>
      </c>
      <c r="H58" s="14">
        <v>2.9</v>
      </c>
      <c r="I58" s="14" t="s">
        <v>49</v>
      </c>
      <c r="J58" s="102"/>
      <c r="K58" s="15">
        <f>PRODUCT(E58:J58)</f>
        <v>25.114000000000001</v>
      </c>
      <c r="L58" s="16"/>
    </row>
    <row r="59" spans="1:12" s="62" customFormat="1" ht="12.75" customHeight="1">
      <c r="A59" s="116"/>
      <c r="B59" s="229"/>
      <c r="C59" s="228" t="s">
        <v>77</v>
      </c>
      <c r="D59" s="12"/>
      <c r="E59" s="13">
        <v>1</v>
      </c>
      <c r="F59" s="18"/>
      <c r="G59" s="14">
        <v>0.55000000000000004</v>
      </c>
      <c r="H59" s="14">
        <v>2.94</v>
      </c>
      <c r="I59" s="14" t="s">
        <v>49</v>
      </c>
      <c r="J59" s="102"/>
      <c r="K59" s="15">
        <f>PRODUCT(E59:J59)</f>
        <v>1.617</v>
      </c>
      <c r="L59" s="16"/>
    </row>
    <row r="60" spans="1:12" s="62" customFormat="1" ht="12.75" customHeight="1">
      <c r="A60" s="187">
        <f>+A55+0.00000001</f>
        <v>1.160105089999999</v>
      </c>
      <c r="B60" s="229" t="s">
        <v>82</v>
      </c>
      <c r="C60" s="228"/>
      <c r="D60" s="12" t="s">
        <v>68</v>
      </c>
      <c r="E60" s="13"/>
      <c r="F60" s="12"/>
      <c r="G60" s="14"/>
      <c r="H60" s="14"/>
      <c r="I60" s="14"/>
      <c r="J60" s="14"/>
      <c r="K60" s="16">
        <f>+K61</f>
        <v>1106.4987999999998</v>
      </c>
      <c r="L60" s="16">
        <f>+K60</f>
        <v>1106.4987999999998</v>
      </c>
    </row>
    <row r="61" spans="1:12" s="62" customFormat="1" ht="12.75" customHeight="1">
      <c r="A61" s="116"/>
      <c r="B61" s="229"/>
      <c r="C61" s="228" t="s">
        <v>71</v>
      </c>
      <c r="D61" s="12"/>
      <c r="E61" s="97"/>
      <c r="F61" s="14"/>
      <c r="G61" s="14"/>
      <c r="H61" s="14"/>
      <c r="I61" s="14"/>
      <c r="J61" s="14"/>
      <c r="K61" s="15">
        <f>+'6.acero'!O23</f>
        <v>1106.4987999999998</v>
      </c>
      <c r="L61" s="16"/>
    </row>
    <row r="62" spans="1:12" s="62" customFormat="1" ht="12.75" customHeight="1">
      <c r="A62" s="187">
        <f>+A60+0.00000001</f>
        <v>1.1601050999999989</v>
      </c>
      <c r="B62" s="229" t="s">
        <v>83</v>
      </c>
      <c r="C62" s="232"/>
      <c r="D62" s="13" t="s">
        <v>36</v>
      </c>
      <c r="E62" s="13"/>
      <c r="F62" s="14"/>
      <c r="G62" s="14"/>
      <c r="H62" s="14"/>
      <c r="I62" s="14"/>
      <c r="J62" s="14"/>
      <c r="K62" s="16">
        <f>SUM(K63:K65)</f>
        <v>1.9059999999999997</v>
      </c>
      <c r="L62" s="16">
        <f>K62</f>
        <v>1.9059999999999997</v>
      </c>
    </row>
    <row r="63" spans="1:12" s="62" customFormat="1" ht="12.75" customHeight="1">
      <c r="A63" s="116"/>
      <c r="B63" s="229"/>
      <c r="C63" s="228" t="s">
        <v>41</v>
      </c>
      <c r="D63" s="13"/>
      <c r="E63" s="13">
        <v>1</v>
      </c>
      <c r="F63" s="12"/>
      <c r="G63" s="14">
        <v>0.2</v>
      </c>
      <c r="H63" s="14" t="s">
        <v>49</v>
      </c>
      <c r="I63" s="14" t="s">
        <v>49</v>
      </c>
      <c r="J63" s="14">
        <v>10.75</v>
      </c>
      <c r="K63" s="15">
        <f>PRODUCT(E63:J63)</f>
        <v>2.15</v>
      </c>
      <c r="L63" s="16"/>
    </row>
    <row r="64" spans="1:12" s="62" customFormat="1" ht="12.75" customHeight="1">
      <c r="A64" s="116"/>
      <c r="B64" s="229"/>
      <c r="C64" s="228" t="s">
        <v>84</v>
      </c>
      <c r="D64" s="13"/>
      <c r="E64" s="13">
        <v>-2</v>
      </c>
      <c r="F64" s="12"/>
      <c r="G64" s="14">
        <v>0.2</v>
      </c>
      <c r="H64" s="14" t="s">
        <v>49</v>
      </c>
      <c r="I64" s="14" t="s">
        <v>49</v>
      </c>
      <c r="J64" s="14">
        <v>0.36</v>
      </c>
      <c r="K64" s="15">
        <f>PRODUCT(E64:J64)</f>
        <v>-0.14399999999999999</v>
      </c>
      <c r="L64" s="16"/>
    </row>
    <row r="65" spans="1:12" s="62" customFormat="1" ht="12.75" customHeight="1">
      <c r="A65" s="116"/>
      <c r="B65" s="229"/>
      <c r="C65" s="228" t="s">
        <v>84</v>
      </c>
      <c r="D65" s="13"/>
      <c r="E65" s="13">
        <v>-1</v>
      </c>
      <c r="F65" s="12"/>
      <c r="G65" s="14">
        <v>0.2</v>
      </c>
      <c r="H65" s="14" t="s">
        <v>49</v>
      </c>
      <c r="I65" s="14" t="s">
        <v>49</v>
      </c>
      <c r="J65" s="14">
        <v>0.5</v>
      </c>
      <c r="K65" s="15">
        <f>PRODUCT(E65:J65)</f>
        <v>-0.1</v>
      </c>
      <c r="L65" s="16"/>
    </row>
    <row r="66" spans="1:12" s="62" customFormat="1" ht="12.75" customHeight="1">
      <c r="A66" s="187">
        <f>+A62+0.00000001</f>
        <v>1.1601051099999988</v>
      </c>
      <c r="B66" s="229" t="s">
        <v>85</v>
      </c>
      <c r="C66" s="232"/>
      <c r="D66" s="12" t="s">
        <v>55</v>
      </c>
      <c r="E66" s="13"/>
      <c r="F66" s="14"/>
      <c r="G66" s="14"/>
      <c r="H66" s="14"/>
      <c r="I66" s="14"/>
      <c r="J66" s="14"/>
      <c r="K66" s="16">
        <f>+SUM(K67:K70)</f>
        <v>14.536</v>
      </c>
      <c r="L66" s="16">
        <f>K66</f>
        <v>14.536</v>
      </c>
    </row>
    <row r="67" spans="1:12" s="62" customFormat="1" ht="12.75" customHeight="1">
      <c r="A67" s="116"/>
      <c r="B67" s="229"/>
      <c r="C67" s="228" t="s">
        <v>86</v>
      </c>
      <c r="D67" s="12"/>
      <c r="E67" s="13">
        <v>1</v>
      </c>
      <c r="F67" s="12"/>
      <c r="G67" s="14" t="s">
        <v>49</v>
      </c>
      <c r="H67" s="14" t="s">
        <v>49</v>
      </c>
      <c r="I67" s="14" t="s">
        <v>49</v>
      </c>
      <c r="J67" s="14">
        <f>+J63</f>
        <v>10.75</v>
      </c>
      <c r="K67" s="15">
        <f>PRODUCT(E67:J67)</f>
        <v>10.75</v>
      </c>
      <c r="L67" s="16"/>
    </row>
    <row r="68" spans="1:12" s="62" customFormat="1" ht="12.75" customHeight="1">
      <c r="A68" s="116"/>
      <c r="B68" s="229"/>
      <c r="C68" s="228" t="s">
        <v>87</v>
      </c>
      <c r="D68" s="12"/>
      <c r="E68" s="13">
        <v>1</v>
      </c>
      <c r="F68" s="12"/>
      <c r="G68" s="14">
        <v>0.2</v>
      </c>
      <c r="H68" s="14">
        <v>11.62</v>
      </c>
      <c r="I68" s="14" t="s">
        <v>49</v>
      </c>
      <c r="J68" s="14"/>
      <c r="K68" s="15">
        <f>PRODUCT(E68:J68)</f>
        <v>2.3239999999999998</v>
      </c>
      <c r="L68" s="16"/>
    </row>
    <row r="69" spans="1:12" s="62" customFormat="1" ht="12.75" customHeight="1">
      <c r="A69" s="116"/>
      <c r="B69" s="229"/>
      <c r="C69" s="228" t="s">
        <v>88</v>
      </c>
      <c r="D69" s="12"/>
      <c r="E69" s="13">
        <v>2</v>
      </c>
      <c r="F69" s="12"/>
      <c r="G69" s="14">
        <v>0.2</v>
      </c>
      <c r="H69" s="14">
        <v>2.4</v>
      </c>
      <c r="I69" s="14" t="s">
        <v>49</v>
      </c>
      <c r="J69" s="14"/>
      <c r="K69" s="15">
        <f>PRODUCT(E69:J69)</f>
        <v>0.96</v>
      </c>
      <c r="L69" s="16"/>
    </row>
    <row r="70" spans="1:12" s="62" customFormat="1" ht="12.75" customHeight="1">
      <c r="A70" s="116"/>
      <c r="B70" s="229"/>
      <c r="C70" s="228" t="s">
        <v>88</v>
      </c>
      <c r="D70" s="12"/>
      <c r="E70" s="13">
        <v>1</v>
      </c>
      <c r="F70" s="12"/>
      <c r="G70" s="14">
        <v>0.2</v>
      </c>
      <c r="H70" s="14">
        <v>2.5099999999999998</v>
      </c>
      <c r="I70" s="14" t="s">
        <v>49</v>
      </c>
      <c r="J70" s="14"/>
      <c r="K70" s="15">
        <f>PRODUCT(E70:J70)</f>
        <v>0.502</v>
      </c>
      <c r="L70" s="16"/>
    </row>
    <row r="71" spans="1:12" s="62" customFormat="1" ht="12.75" customHeight="1">
      <c r="A71" s="187">
        <f>+A66+0.00000001</f>
        <v>1.1601051199999988</v>
      </c>
      <c r="B71" s="229" t="s">
        <v>89</v>
      </c>
      <c r="C71" s="228"/>
      <c r="D71" s="12" t="s">
        <v>68</v>
      </c>
      <c r="E71" s="13"/>
      <c r="F71" s="12"/>
      <c r="G71" s="14"/>
      <c r="H71" s="14"/>
      <c r="I71" s="14"/>
      <c r="J71" s="14"/>
      <c r="K71" s="16">
        <f>+SUM(K72:K72)</f>
        <v>214.1568</v>
      </c>
      <c r="L71" s="16">
        <f>+K71</f>
        <v>214.1568</v>
      </c>
    </row>
    <row r="72" spans="1:12" s="62" customFormat="1" ht="12.75" customHeight="1">
      <c r="A72" s="120"/>
      <c r="B72" s="230"/>
      <c r="C72" s="231" t="s">
        <v>71</v>
      </c>
      <c r="D72" s="84"/>
      <c r="E72" s="106"/>
      <c r="F72" s="86"/>
      <c r="G72" s="86"/>
      <c r="H72" s="86"/>
      <c r="I72" s="86"/>
      <c r="J72" s="86"/>
      <c r="K72" s="95">
        <f>+'6.acero'!O31</f>
        <v>214.1568</v>
      </c>
      <c r="L72" s="87"/>
    </row>
    <row r="73" spans="1:12" s="62" customFormat="1" ht="12.75" customHeight="1">
      <c r="A73" s="188">
        <f>+A38+0.000001</f>
        <v>1.1601059999999994</v>
      </c>
      <c r="B73" s="226" t="s">
        <v>90</v>
      </c>
      <c r="C73" s="227"/>
      <c r="D73" s="6"/>
      <c r="E73" s="6"/>
      <c r="F73" s="6"/>
      <c r="G73" s="6"/>
      <c r="H73" s="6"/>
      <c r="I73" s="6"/>
      <c r="J73" s="8"/>
      <c r="K73" s="20"/>
      <c r="L73" s="23"/>
    </row>
    <row r="74" spans="1:12" s="62" customFormat="1" ht="12.75" customHeight="1">
      <c r="A74" s="187">
        <f>+A73+0.00000001</f>
        <v>1.1601060099999994</v>
      </c>
      <c r="B74" s="229" t="s">
        <v>91</v>
      </c>
      <c r="C74" s="232"/>
      <c r="D74" s="12" t="s">
        <v>55</v>
      </c>
      <c r="E74" s="14"/>
      <c r="F74" s="99"/>
      <c r="G74" s="14"/>
      <c r="H74" s="14"/>
      <c r="I74" s="14"/>
      <c r="J74" s="14"/>
      <c r="K74" s="16">
        <f>SUM(K75:K75)</f>
        <v>6.35</v>
      </c>
      <c r="L74" s="16">
        <f>K74</f>
        <v>6.35</v>
      </c>
    </row>
    <row r="75" spans="1:12" s="62" customFormat="1" ht="12.75" customHeight="1">
      <c r="A75" s="116"/>
      <c r="B75" s="229"/>
      <c r="C75" s="228" t="s">
        <v>65</v>
      </c>
      <c r="D75" s="13"/>
      <c r="E75" s="13">
        <v>1</v>
      </c>
      <c r="F75" s="12"/>
      <c r="G75" s="14" t="s">
        <v>49</v>
      </c>
      <c r="H75" s="14" t="s">
        <v>49</v>
      </c>
      <c r="I75" s="14" t="s">
        <v>49</v>
      </c>
      <c r="J75" s="14">
        <f>4.43+1.92</f>
        <v>6.35</v>
      </c>
      <c r="K75" s="15">
        <f>PRODUCT(E75:J75)</f>
        <v>6.35</v>
      </c>
      <c r="L75" s="15"/>
    </row>
    <row r="76" spans="1:12" s="62" customFormat="1" ht="12.75" customHeight="1">
      <c r="A76" s="187">
        <f>+A74+0.00000001</f>
        <v>1.1601060199999993</v>
      </c>
      <c r="B76" s="229" t="s">
        <v>92</v>
      </c>
      <c r="C76" s="228"/>
      <c r="D76" s="12" t="s">
        <v>55</v>
      </c>
      <c r="E76" s="97"/>
      <c r="F76" s="99"/>
      <c r="G76" s="14"/>
      <c r="H76" s="14"/>
      <c r="I76" s="14"/>
      <c r="J76" s="14"/>
      <c r="K76" s="16">
        <f>SUM(K77:K78)</f>
        <v>63.391199999999998</v>
      </c>
      <c r="L76" s="16">
        <f>K76</f>
        <v>63.391199999999998</v>
      </c>
    </row>
    <row r="77" spans="1:12" s="62" customFormat="1" ht="12.75" customHeight="1">
      <c r="A77" s="116"/>
      <c r="B77" s="229"/>
      <c r="C77" s="228" t="s">
        <v>93</v>
      </c>
      <c r="D77" s="12"/>
      <c r="E77" s="13">
        <v>1</v>
      </c>
      <c r="F77" s="18"/>
      <c r="G77" s="14">
        <v>4.33</v>
      </c>
      <c r="H77" s="14">
        <v>6.38</v>
      </c>
      <c r="I77" s="14" t="s">
        <v>49</v>
      </c>
      <c r="J77" s="14"/>
      <c r="K77" s="15">
        <f>PRODUCT(E77:J77)</f>
        <v>27.625399999999999</v>
      </c>
      <c r="L77" s="15"/>
    </row>
    <row r="78" spans="1:12" s="62" customFormat="1" ht="12.75" customHeight="1">
      <c r="A78" s="116"/>
      <c r="B78" s="229"/>
      <c r="C78" s="228" t="s">
        <v>94</v>
      </c>
      <c r="D78" s="12"/>
      <c r="E78" s="13">
        <v>1</v>
      </c>
      <c r="F78" s="18"/>
      <c r="G78" s="14">
        <f>+G77</f>
        <v>4.33</v>
      </c>
      <c r="H78" s="14">
        <v>8.26</v>
      </c>
      <c r="I78" s="14" t="s">
        <v>49</v>
      </c>
      <c r="J78" s="14"/>
      <c r="K78" s="15">
        <f>PRODUCT(E78:J78)</f>
        <v>35.765799999999999</v>
      </c>
      <c r="L78" s="15"/>
    </row>
    <row r="79" spans="1:12" s="62" customFormat="1" ht="12.75" customHeight="1">
      <c r="A79" s="187">
        <f>+A76+0.00000001</f>
        <v>1.1601060299999992</v>
      </c>
      <c r="B79" s="229" t="s">
        <v>95</v>
      </c>
      <c r="C79" s="232"/>
      <c r="D79" s="12" t="s">
        <v>55</v>
      </c>
      <c r="E79" s="97"/>
      <c r="F79" s="97"/>
      <c r="G79" s="14"/>
      <c r="H79" s="14"/>
      <c r="I79" s="14"/>
      <c r="J79" s="14"/>
      <c r="K79" s="16">
        <f>SUM(K80:K82)</f>
        <v>5.13</v>
      </c>
      <c r="L79" s="16">
        <f>K79</f>
        <v>5.13</v>
      </c>
    </row>
    <row r="80" spans="1:12" s="62" customFormat="1" ht="12.75" customHeight="1">
      <c r="A80" s="116"/>
      <c r="B80" s="229"/>
      <c r="C80" s="228" t="s">
        <v>96</v>
      </c>
      <c r="D80" s="12"/>
      <c r="E80" s="13">
        <v>1</v>
      </c>
      <c r="F80" s="12"/>
      <c r="G80" s="14" t="s">
        <v>49</v>
      </c>
      <c r="H80" s="14" t="s">
        <v>49</v>
      </c>
      <c r="I80" s="14" t="s">
        <v>49</v>
      </c>
      <c r="J80" s="14">
        <f>J75</f>
        <v>6.35</v>
      </c>
      <c r="K80" s="15">
        <f>PRODUCT(E80:J80)</f>
        <v>6.35</v>
      </c>
      <c r="L80" s="15"/>
    </row>
    <row r="81" spans="1:12" s="62" customFormat="1" ht="12.75" customHeight="1">
      <c r="A81" s="116"/>
      <c r="B81" s="229"/>
      <c r="C81" s="228" t="s">
        <v>84</v>
      </c>
      <c r="D81" s="13"/>
      <c r="E81" s="13">
        <v>-2</v>
      </c>
      <c r="F81" s="12"/>
      <c r="G81" s="14" t="s">
        <v>49</v>
      </c>
      <c r="H81" s="14" t="s">
        <v>49</v>
      </c>
      <c r="I81" s="14" t="s">
        <v>49</v>
      </c>
      <c r="J81" s="14">
        <f>+J64</f>
        <v>0.36</v>
      </c>
      <c r="K81" s="15">
        <f>PRODUCT(E81:J81)</f>
        <v>-0.72</v>
      </c>
      <c r="L81" s="15"/>
    </row>
    <row r="82" spans="1:12" s="62" customFormat="1" ht="12.75" customHeight="1">
      <c r="A82" s="116"/>
      <c r="B82" s="229"/>
      <c r="C82" s="228" t="s">
        <v>84</v>
      </c>
      <c r="D82" s="13"/>
      <c r="E82" s="13">
        <v>-1</v>
      </c>
      <c r="F82" s="12"/>
      <c r="G82" s="14" t="s">
        <v>49</v>
      </c>
      <c r="H82" s="14" t="s">
        <v>49</v>
      </c>
      <c r="I82" s="14" t="s">
        <v>49</v>
      </c>
      <c r="J82" s="14">
        <f>+J65</f>
        <v>0.5</v>
      </c>
      <c r="K82" s="15">
        <f>PRODUCT(E82:J82)</f>
        <v>-0.5</v>
      </c>
      <c r="L82" s="15"/>
    </row>
    <row r="83" spans="1:12" s="62" customFormat="1" ht="12.75" customHeight="1">
      <c r="A83" s="188">
        <f>+A73+0.000001</f>
        <v>1.1601069999999993</v>
      </c>
      <c r="B83" s="226" t="s">
        <v>97</v>
      </c>
      <c r="C83" s="227"/>
      <c r="D83" s="6"/>
      <c r="E83" s="6"/>
      <c r="F83" s="6"/>
      <c r="G83" s="6"/>
      <c r="H83" s="8"/>
      <c r="I83" s="6"/>
      <c r="J83" s="8"/>
      <c r="K83" s="20"/>
      <c r="L83" s="23"/>
    </row>
    <row r="84" spans="1:12" s="62" customFormat="1" ht="12.75" customHeight="1">
      <c r="A84" s="187">
        <f>+A83+0.00000001</f>
        <v>1.1601070099999993</v>
      </c>
      <c r="B84" s="229" t="s">
        <v>98</v>
      </c>
      <c r="C84" s="228"/>
      <c r="D84" s="12" t="s">
        <v>48</v>
      </c>
      <c r="E84" s="12">
        <v>4</v>
      </c>
      <c r="F84" s="12"/>
      <c r="G84" s="14" t="s">
        <v>49</v>
      </c>
      <c r="H84" s="14" t="s">
        <v>49</v>
      </c>
      <c r="I84" s="14" t="s">
        <v>49</v>
      </c>
      <c r="J84" s="18"/>
      <c r="K84" s="15">
        <f>PRODUCT(E84:J84)</f>
        <v>4</v>
      </c>
      <c r="L84" s="15">
        <f>+K84</f>
        <v>4</v>
      </c>
    </row>
    <row r="85" spans="1:12" s="62" customFormat="1" ht="12.75" customHeight="1">
      <c r="A85" s="187">
        <f>+A84+0.00000001</f>
        <v>1.1601070199999992</v>
      </c>
      <c r="B85" s="229" t="s">
        <v>99</v>
      </c>
      <c r="C85" s="228"/>
      <c r="D85" s="12" t="s">
        <v>100</v>
      </c>
      <c r="E85" s="12">
        <v>1</v>
      </c>
      <c r="F85" s="12"/>
      <c r="G85" s="14">
        <v>4.53</v>
      </c>
      <c r="H85" s="14" t="s">
        <v>49</v>
      </c>
      <c r="I85" s="14" t="s">
        <v>49</v>
      </c>
      <c r="J85" s="18"/>
      <c r="K85" s="15">
        <f>PRODUCT(E85:J85)</f>
        <v>4.53</v>
      </c>
      <c r="L85" s="15">
        <f>+K85</f>
        <v>4.53</v>
      </c>
    </row>
    <row r="86" spans="1:12" s="62" customFormat="1" ht="12.75" customHeight="1">
      <c r="A86" s="206">
        <f>+A85+0.00000001</f>
        <v>1.1601070299999992</v>
      </c>
      <c r="B86" s="230" t="s">
        <v>101</v>
      </c>
      <c r="C86" s="233"/>
      <c r="D86" s="84" t="s">
        <v>48</v>
      </c>
      <c r="E86" s="86">
        <f>+L39+L47+L51+L62</f>
        <v>30.330067199999995</v>
      </c>
      <c r="F86" s="106">
        <v>3</v>
      </c>
      <c r="G86" s="86" t="s">
        <v>49</v>
      </c>
      <c r="H86" s="86" t="s">
        <v>49</v>
      </c>
      <c r="I86" s="86" t="s">
        <v>49</v>
      </c>
      <c r="J86" s="86"/>
      <c r="K86" s="95">
        <f>+E86/F86</f>
        <v>10.110022399999998</v>
      </c>
      <c r="L86" s="95">
        <f>ROUNDUP(K86,0)</f>
        <v>11</v>
      </c>
    </row>
    <row r="88" spans="1:12" ht="12.75" customHeight="1">
      <c r="B88" s="38"/>
    </row>
  </sheetData>
  <mergeCells count="8">
    <mergeCell ref="A1:L1"/>
    <mergeCell ref="B2:L2"/>
    <mergeCell ref="A6:A7"/>
    <mergeCell ref="B6:C7"/>
    <mergeCell ref="D6:D7"/>
    <mergeCell ref="F6:J6"/>
    <mergeCell ref="K6:K7"/>
    <mergeCell ref="L6:L7"/>
  </mergeCells>
  <printOptions horizontalCentered="1" gridLines="1"/>
  <pageMargins left="0.59055118110236227" right="0.59055118110236227" top="0.98425196850393704" bottom="0.59055118110236227" header="0.51181102362204722" footer="0.51181102362204722"/>
  <pageSetup paperSize="9" scale="80" orientation="landscape" horizontalDpi="200" verticalDpi="200" r:id="rId1"/>
  <headerFooter alignWithMargins="0">
    <oddHeader>&amp;C&amp;14PLANILLA DE METRADOS DE RESERVORIOS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1CFAC4-0D68-44FA-8075-BCE21B4D88FC}">
  <sheetPr>
    <tabColor theme="3" tint="0.39997558519241921"/>
  </sheetPr>
  <dimension ref="A1:P264"/>
  <sheetViews>
    <sheetView view="pageBreakPreview" zoomScaleNormal="85" zoomScaleSheetLayoutView="100" workbookViewId="0"/>
  </sheetViews>
  <sheetFormatPr defaultColWidth="11.42578125" defaultRowHeight="15.95" customHeight="1"/>
  <cols>
    <col min="1" max="1" width="13.42578125" style="22" customWidth="1"/>
    <col min="2" max="3" width="27.85546875" style="22" customWidth="1"/>
    <col min="4" max="4" width="8" style="22" customWidth="1"/>
    <col min="5" max="5" width="7.28515625" style="22" customWidth="1"/>
    <col min="6" max="9" width="9.28515625" style="22" customWidth="1"/>
    <col min="10" max="10" width="9.28515625" style="63" customWidth="1"/>
    <col min="11" max="12" width="10.42578125" style="36" customWidth="1"/>
    <col min="13" max="13" width="8" style="4" customWidth="1"/>
    <col min="14" max="16384" width="11.42578125" style="4"/>
  </cols>
  <sheetData>
    <row r="1" spans="1:12" ht="15.95" customHeight="1">
      <c r="A1" s="332" t="s">
        <v>16</v>
      </c>
      <c r="B1" s="333"/>
      <c r="C1" s="333"/>
      <c r="D1" s="333"/>
      <c r="E1" s="333"/>
      <c r="F1" s="333"/>
      <c r="G1" s="333"/>
      <c r="H1" s="333"/>
      <c r="I1" s="333"/>
      <c r="J1" s="333"/>
      <c r="K1" s="333"/>
      <c r="L1" s="334"/>
    </row>
    <row r="2" spans="1:12" ht="15.95" customHeight="1">
      <c r="A2" s="219" t="s">
        <v>17</v>
      </c>
      <c r="B2" s="335" t="str">
        <f>+Resumen!B2</f>
        <v>ESTUDIO DEFINITIVO Y EXPEDIENTE TECNICO: AMPLIACION Y MEJORAMIENTO DE LOS SISTEMAS DE AGUA POTABLE Y ALCANTARILLADO DEL ESQUEMA PUCUSANA.</v>
      </c>
      <c r="C2" s="335"/>
      <c r="D2" s="335"/>
      <c r="E2" s="335"/>
      <c r="F2" s="335"/>
      <c r="G2" s="335"/>
      <c r="H2" s="335"/>
      <c r="I2" s="335"/>
      <c r="J2" s="335"/>
      <c r="K2" s="335"/>
      <c r="L2" s="336"/>
    </row>
    <row r="3" spans="1:12" ht="15.95" customHeight="1">
      <c r="A3" s="220" t="s">
        <v>5</v>
      </c>
      <c r="B3" s="207" t="s">
        <v>6</v>
      </c>
      <c r="C3" s="208"/>
      <c r="D3" s="209"/>
      <c r="E3" s="210"/>
      <c r="F3" s="208"/>
      <c r="G3" s="208"/>
      <c r="H3" s="208"/>
      <c r="I3" s="208"/>
      <c r="J3" s="211"/>
      <c r="K3" s="212"/>
      <c r="L3" s="221"/>
    </row>
    <row r="4" spans="1:12" ht="15.95" customHeight="1">
      <c r="A4" s="220" t="s">
        <v>7</v>
      </c>
      <c r="B4" s="207" t="str">
        <f>+'1.CDP'!B4</f>
        <v>LIMA</v>
      </c>
      <c r="C4" s="208"/>
      <c r="D4" s="209"/>
      <c r="E4" s="210"/>
      <c r="F4" s="208"/>
      <c r="G4" s="208"/>
      <c r="H4" s="208"/>
      <c r="I4" s="208"/>
      <c r="J4" s="211"/>
      <c r="K4" s="212"/>
      <c r="L4" s="221"/>
    </row>
    <row r="5" spans="1:12" ht="15.95" customHeight="1">
      <c r="A5" s="222" t="s">
        <v>11</v>
      </c>
      <c r="B5" s="213" t="s">
        <v>18</v>
      </c>
      <c r="C5" s="214"/>
      <c r="D5" s="215"/>
      <c r="E5" s="216"/>
      <c r="F5" s="214"/>
      <c r="G5" s="214"/>
      <c r="H5" s="214"/>
      <c r="I5" s="214"/>
      <c r="J5" s="217"/>
      <c r="K5" s="218"/>
      <c r="L5" s="223"/>
    </row>
    <row r="6" spans="1:12" ht="15.95" customHeight="1">
      <c r="A6" s="337" t="s">
        <v>19</v>
      </c>
      <c r="B6" s="337" t="s">
        <v>20</v>
      </c>
      <c r="C6" s="337"/>
      <c r="D6" s="337" t="s">
        <v>21</v>
      </c>
      <c r="E6" s="324" t="s">
        <v>22</v>
      </c>
      <c r="F6" s="337" t="s">
        <v>23</v>
      </c>
      <c r="G6" s="337"/>
      <c r="H6" s="337"/>
      <c r="I6" s="337"/>
      <c r="J6" s="337"/>
      <c r="K6" s="339" t="s">
        <v>24</v>
      </c>
      <c r="L6" s="339" t="s">
        <v>25</v>
      </c>
    </row>
    <row r="7" spans="1:12" ht="15.95" customHeight="1">
      <c r="A7" s="337"/>
      <c r="B7" s="337"/>
      <c r="C7" s="337"/>
      <c r="D7" s="337"/>
      <c r="E7" s="324" t="s">
        <v>26</v>
      </c>
      <c r="F7" s="324" t="s">
        <v>27</v>
      </c>
      <c r="G7" s="324" t="s">
        <v>28</v>
      </c>
      <c r="H7" s="324" t="s">
        <v>29</v>
      </c>
      <c r="I7" s="324" t="s">
        <v>30</v>
      </c>
      <c r="J7" s="224" t="s">
        <v>31</v>
      </c>
      <c r="K7" s="339"/>
      <c r="L7" s="339"/>
    </row>
    <row r="8" spans="1:12" s="62" customFormat="1" ht="15.95" customHeight="1">
      <c r="A8" s="186">
        <f>+'1.CDP'!A9+0.0001</f>
        <v>1.1601999999999999</v>
      </c>
      <c r="B8" s="235" t="s">
        <v>102</v>
      </c>
      <c r="C8" s="236"/>
      <c r="D8" s="30"/>
      <c r="E8" s="30"/>
      <c r="F8" s="30"/>
      <c r="G8" s="30"/>
      <c r="H8" s="30"/>
      <c r="I8" s="30"/>
      <c r="J8" s="107"/>
      <c r="K8" s="31"/>
      <c r="L8" s="31"/>
    </row>
    <row r="9" spans="1:12" s="62" customFormat="1" ht="15.95" customHeight="1">
      <c r="A9" s="188">
        <f>+A8+0.000001</f>
        <v>1.1602009999999998</v>
      </c>
      <c r="B9" s="235" t="s">
        <v>34</v>
      </c>
      <c r="C9" s="237"/>
      <c r="D9" s="6"/>
      <c r="E9" s="180"/>
      <c r="F9" s="8"/>
      <c r="G9" s="8"/>
      <c r="H9" s="8"/>
      <c r="I9" s="8"/>
      <c r="J9" s="8"/>
      <c r="K9" s="9"/>
      <c r="L9" s="20"/>
    </row>
    <row r="10" spans="1:12" s="62" customFormat="1" ht="15.95" customHeight="1">
      <c r="A10" s="187">
        <f>+A9+0.00000001</f>
        <v>1.1602010099999998</v>
      </c>
      <c r="B10" s="238" t="s">
        <v>103</v>
      </c>
      <c r="C10" s="239"/>
      <c r="D10" s="35" t="s">
        <v>36</v>
      </c>
      <c r="E10" s="13"/>
      <c r="F10" s="12"/>
      <c r="G10" s="14"/>
      <c r="H10" s="14"/>
      <c r="I10" s="14"/>
      <c r="J10" s="14"/>
      <c r="K10" s="16">
        <f>+SUM(K11)</f>
        <v>13.655249999999999</v>
      </c>
      <c r="L10" s="16">
        <f>+K10</f>
        <v>13.655249999999999</v>
      </c>
    </row>
    <row r="11" spans="1:12" s="62" customFormat="1" ht="15.95" customHeight="1">
      <c r="A11" s="116"/>
      <c r="B11" s="238"/>
      <c r="C11" s="239" t="s">
        <v>104</v>
      </c>
      <c r="D11" s="35" t="s">
        <v>36</v>
      </c>
      <c r="E11" s="13">
        <v>1</v>
      </c>
      <c r="F11" s="12"/>
      <c r="G11" s="14">
        <v>2.5499999999999998</v>
      </c>
      <c r="H11" s="14">
        <v>15.3</v>
      </c>
      <c r="I11" s="14">
        <v>0.35</v>
      </c>
      <c r="J11" s="14"/>
      <c r="K11" s="15">
        <f>+PRODUCT(E11:J11)</f>
        <v>13.655249999999999</v>
      </c>
      <c r="L11" s="16"/>
    </row>
    <row r="12" spans="1:12" s="62" customFormat="1" ht="15.95" customHeight="1">
      <c r="A12" s="187">
        <f>+A10+0.00000001</f>
        <v>1.1602010199999997</v>
      </c>
      <c r="B12" s="238" t="s">
        <v>105</v>
      </c>
      <c r="C12" s="239"/>
      <c r="D12" s="35" t="s">
        <v>36</v>
      </c>
      <c r="E12" s="13"/>
      <c r="F12" s="12"/>
      <c r="G12" s="14"/>
      <c r="H12" s="14"/>
      <c r="I12" s="14"/>
      <c r="J12" s="14"/>
      <c r="K12" s="16">
        <f>+SUM(K13:K14)</f>
        <v>4.32</v>
      </c>
      <c r="L12" s="16">
        <f>+K12</f>
        <v>4.32</v>
      </c>
    </row>
    <row r="13" spans="1:12" s="62" customFormat="1" ht="15.95" customHeight="1">
      <c r="A13" s="116"/>
      <c r="B13" s="238"/>
      <c r="C13" s="239" t="s">
        <v>106</v>
      </c>
      <c r="D13" s="35" t="s">
        <v>36</v>
      </c>
      <c r="E13" s="13">
        <v>1</v>
      </c>
      <c r="F13" s="12"/>
      <c r="G13" s="14">
        <v>0.2</v>
      </c>
      <c r="H13" s="14">
        <v>9</v>
      </c>
      <c r="I13" s="14">
        <v>2.25</v>
      </c>
      <c r="J13" s="14"/>
      <c r="K13" s="15">
        <f>+PRODUCT(E13:J13)</f>
        <v>4.05</v>
      </c>
      <c r="L13" s="16"/>
    </row>
    <row r="14" spans="1:12" s="62" customFormat="1" ht="15.95" customHeight="1">
      <c r="A14" s="116"/>
      <c r="B14" s="238"/>
      <c r="C14" s="239" t="s">
        <v>106</v>
      </c>
      <c r="D14" s="35" t="s">
        <v>36</v>
      </c>
      <c r="E14" s="13">
        <v>1</v>
      </c>
      <c r="F14" s="12"/>
      <c r="G14" s="14">
        <v>0.2</v>
      </c>
      <c r="H14" s="14">
        <v>1.5</v>
      </c>
      <c r="I14" s="14">
        <v>0.9</v>
      </c>
      <c r="J14" s="14"/>
      <c r="K14" s="15">
        <f>+PRODUCT(E14:J14)</f>
        <v>0.27000000000000007</v>
      </c>
      <c r="L14" s="16"/>
    </row>
    <row r="15" spans="1:12" s="62" customFormat="1" ht="15.95" customHeight="1">
      <c r="A15" s="187">
        <f>+A12+0.00000001</f>
        <v>1.1602010299999996</v>
      </c>
      <c r="B15" s="238" t="s">
        <v>44</v>
      </c>
      <c r="C15" s="239"/>
      <c r="D15" s="35" t="s">
        <v>36</v>
      </c>
      <c r="E15" s="13"/>
      <c r="F15" s="12"/>
      <c r="G15" s="14"/>
      <c r="H15" s="14"/>
      <c r="I15" s="14"/>
      <c r="J15" s="14"/>
      <c r="K15" s="16">
        <f>+K16</f>
        <v>17.975249999999999</v>
      </c>
      <c r="L15" s="16">
        <f>+K15</f>
        <v>17.975249999999999</v>
      </c>
    </row>
    <row r="16" spans="1:12" s="62" customFormat="1" ht="15.95" customHeight="1">
      <c r="A16" s="120"/>
      <c r="B16" s="240"/>
      <c r="C16" s="241" t="s">
        <v>45</v>
      </c>
      <c r="D16" s="121" t="s">
        <v>36</v>
      </c>
      <c r="E16" s="85">
        <v>1</v>
      </c>
      <c r="F16" s="84"/>
      <c r="G16" s="86"/>
      <c r="H16" s="86"/>
      <c r="I16" s="86"/>
      <c r="J16" s="86"/>
      <c r="K16" s="95">
        <f>+L10+L12</f>
        <v>17.975249999999999</v>
      </c>
      <c r="L16" s="87"/>
    </row>
    <row r="17" spans="1:12" s="62" customFormat="1" ht="15.95" customHeight="1">
      <c r="A17" s="188">
        <f>+A9+0.000001</f>
        <v>1.1602019999999997</v>
      </c>
      <c r="B17" s="235" t="s">
        <v>46</v>
      </c>
      <c r="C17" s="237"/>
      <c r="D17" s="33"/>
      <c r="E17" s="7"/>
      <c r="F17" s="8"/>
      <c r="G17" s="8"/>
      <c r="H17" s="8"/>
      <c r="I17" s="8"/>
      <c r="J17" s="8"/>
      <c r="K17" s="9"/>
      <c r="L17" s="20"/>
    </row>
    <row r="18" spans="1:12" s="62" customFormat="1" ht="15.95" customHeight="1">
      <c r="A18" s="187">
        <f>+A17+0.00000001</f>
        <v>1.1602020099999997</v>
      </c>
      <c r="B18" s="238" t="s">
        <v>107</v>
      </c>
      <c r="C18" s="239"/>
      <c r="D18" s="35" t="s">
        <v>48</v>
      </c>
      <c r="E18" s="13"/>
      <c r="F18" s="12"/>
      <c r="G18" s="14"/>
      <c r="H18" s="14"/>
      <c r="I18" s="14"/>
      <c r="J18" s="18"/>
      <c r="K18" s="16">
        <f>SUM(K19)</f>
        <v>104.54</v>
      </c>
      <c r="L18" s="16">
        <f>+K18</f>
        <v>104.54</v>
      </c>
    </row>
    <row r="19" spans="1:12" s="62" customFormat="1" ht="15.95" customHeight="1">
      <c r="A19" s="116"/>
      <c r="B19" s="238"/>
      <c r="C19" s="239" t="s">
        <v>108</v>
      </c>
      <c r="D19" s="35" t="s">
        <v>48</v>
      </c>
      <c r="E19" s="13">
        <v>1</v>
      </c>
      <c r="F19" s="12"/>
      <c r="G19" s="14" t="s">
        <v>49</v>
      </c>
      <c r="H19" s="14" t="s">
        <v>49</v>
      </c>
      <c r="I19" s="14" t="s">
        <v>49</v>
      </c>
      <c r="J19" s="18">
        <v>104.54</v>
      </c>
      <c r="K19" s="15">
        <f>PRODUCT(E19:J19)</f>
        <v>104.54</v>
      </c>
      <c r="L19" s="15"/>
    </row>
    <row r="20" spans="1:12" s="62" customFormat="1" ht="15.95" customHeight="1">
      <c r="A20" s="187">
        <f>+A18+0.00000001</f>
        <v>1.1602020199999996</v>
      </c>
      <c r="B20" s="238" t="s">
        <v>109</v>
      </c>
      <c r="C20" s="239"/>
      <c r="D20" s="35" t="s">
        <v>48</v>
      </c>
      <c r="E20" s="13"/>
      <c r="F20" s="12"/>
      <c r="G20" s="14"/>
      <c r="H20" s="14"/>
      <c r="I20" s="14"/>
      <c r="J20" s="18"/>
      <c r="K20" s="16">
        <f>SUM(K21)</f>
        <v>104.54</v>
      </c>
      <c r="L20" s="16">
        <f>+K20</f>
        <v>104.54</v>
      </c>
    </row>
    <row r="21" spans="1:12" s="62" customFormat="1" ht="15.95" customHeight="1">
      <c r="A21" s="120"/>
      <c r="B21" s="240"/>
      <c r="C21" s="241" t="s">
        <v>108</v>
      </c>
      <c r="D21" s="121" t="s">
        <v>48</v>
      </c>
      <c r="E21" s="85">
        <v>1</v>
      </c>
      <c r="F21" s="84"/>
      <c r="G21" s="86" t="s">
        <v>49</v>
      </c>
      <c r="H21" s="86" t="s">
        <v>49</v>
      </c>
      <c r="I21" s="86" t="s">
        <v>49</v>
      </c>
      <c r="J21" s="100">
        <f>+J19</f>
        <v>104.54</v>
      </c>
      <c r="K21" s="95">
        <f>PRODUCT(E21:J21)</f>
        <v>104.54</v>
      </c>
      <c r="L21" s="95"/>
    </row>
    <row r="22" spans="1:12" s="62" customFormat="1" ht="15.95" customHeight="1">
      <c r="A22" s="188">
        <f>+A17+0.000001</f>
        <v>1.1602029999999997</v>
      </c>
      <c r="B22" s="235" t="s">
        <v>51</v>
      </c>
      <c r="C22" s="237"/>
      <c r="D22" s="6"/>
      <c r="E22" s="7"/>
      <c r="F22" s="8"/>
      <c r="G22" s="8"/>
      <c r="H22" s="8"/>
      <c r="I22" s="8"/>
      <c r="J22" s="8"/>
      <c r="K22" s="9"/>
      <c r="L22" s="20"/>
    </row>
    <row r="23" spans="1:12" s="62" customFormat="1" ht="15.95" customHeight="1">
      <c r="A23" s="187">
        <f>+A22+0.00000001</f>
        <v>1.1602030099999996</v>
      </c>
      <c r="B23" s="238" t="s">
        <v>110</v>
      </c>
      <c r="C23" s="239"/>
      <c r="D23" s="12" t="s">
        <v>36</v>
      </c>
      <c r="E23" s="13"/>
      <c r="F23" s="14"/>
      <c r="G23" s="14"/>
      <c r="H23" s="14"/>
      <c r="I23" s="14"/>
      <c r="J23" s="18"/>
      <c r="K23" s="16">
        <f>SUM(K24:K28)</f>
        <v>234.16579999999999</v>
      </c>
      <c r="L23" s="16">
        <f>K23</f>
        <v>234.16579999999999</v>
      </c>
    </row>
    <row r="24" spans="1:12" s="62" customFormat="1" ht="15.95" customHeight="1">
      <c r="A24" s="116"/>
      <c r="B24" s="238"/>
      <c r="C24" s="239" t="s">
        <v>111</v>
      </c>
      <c r="D24" s="12"/>
      <c r="E24" s="13">
        <v>1</v>
      </c>
      <c r="F24" s="14"/>
      <c r="G24" s="14">
        <v>1.98</v>
      </c>
      <c r="H24" s="14" t="s">
        <v>49</v>
      </c>
      <c r="I24" s="14" t="s">
        <v>49</v>
      </c>
      <c r="J24" s="18">
        <f>79.01-25.71</f>
        <v>53.300000000000004</v>
      </c>
      <c r="K24" s="15">
        <f>PRODUCT(E24:J24)</f>
        <v>105.53400000000001</v>
      </c>
      <c r="L24" s="16"/>
    </row>
    <row r="25" spans="1:12" s="62" customFormat="1" ht="15.95" customHeight="1">
      <c r="A25" s="116"/>
      <c r="B25" s="238"/>
      <c r="C25" s="239" t="s">
        <v>112</v>
      </c>
      <c r="D25" s="12"/>
      <c r="E25" s="13">
        <v>1</v>
      </c>
      <c r="F25" s="12"/>
      <c r="G25" s="14">
        <v>0.73</v>
      </c>
      <c r="H25" s="14" t="s">
        <v>49</v>
      </c>
      <c r="I25" s="14" t="s">
        <v>49</v>
      </c>
      <c r="J25" s="18">
        <v>150.38</v>
      </c>
      <c r="K25" s="15">
        <f>PRODUCT(E25:J25)</f>
        <v>109.7774</v>
      </c>
      <c r="L25" s="16"/>
    </row>
    <row r="26" spans="1:12" s="62" customFormat="1" ht="15.95" customHeight="1">
      <c r="A26" s="116"/>
      <c r="B26" s="238"/>
      <c r="C26" s="239" t="s">
        <v>113</v>
      </c>
      <c r="D26" s="12"/>
      <c r="E26" s="13">
        <v>1</v>
      </c>
      <c r="F26" s="12"/>
      <c r="G26" s="14" t="s">
        <v>49</v>
      </c>
      <c r="H26" s="14">
        <f>53.2</f>
        <v>53.2</v>
      </c>
      <c r="I26" s="14" t="s">
        <v>49</v>
      </c>
      <c r="J26" s="18">
        <v>0.24</v>
      </c>
      <c r="K26" s="15">
        <f>PRODUCT(E26:J26)</f>
        <v>12.768000000000001</v>
      </c>
      <c r="L26" s="16"/>
    </row>
    <row r="27" spans="1:12" s="62" customFormat="1" ht="15.95" customHeight="1">
      <c r="A27" s="116"/>
      <c r="B27" s="238"/>
      <c r="C27" s="239" t="s">
        <v>114</v>
      </c>
      <c r="D27" s="12"/>
      <c r="E27" s="13">
        <v>1</v>
      </c>
      <c r="F27" s="12"/>
      <c r="G27" s="14" t="s">
        <v>49</v>
      </c>
      <c r="H27" s="14">
        <v>16.52</v>
      </c>
      <c r="I27" s="14" t="s">
        <v>49</v>
      </c>
      <c r="J27" s="18">
        <v>0.24</v>
      </c>
      <c r="K27" s="15">
        <f>PRODUCT(E27:J27)</f>
        <v>3.9647999999999999</v>
      </c>
      <c r="L27" s="16"/>
    </row>
    <row r="28" spans="1:12" s="62" customFormat="1" ht="15.95" customHeight="1">
      <c r="A28" s="116"/>
      <c r="B28" s="238"/>
      <c r="C28" s="239" t="s">
        <v>115</v>
      </c>
      <c r="D28" s="12"/>
      <c r="E28" s="13">
        <v>1</v>
      </c>
      <c r="F28" s="12"/>
      <c r="G28" s="14" t="s">
        <v>49</v>
      </c>
      <c r="H28" s="14">
        <v>8.84</v>
      </c>
      <c r="I28" s="14" t="s">
        <v>49</v>
      </c>
      <c r="J28" s="18">
        <v>0.24</v>
      </c>
      <c r="K28" s="15">
        <f>PRODUCT(E28:J28)</f>
        <v>2.1215999999999999</v>
      </c>
      <c r="L28" s="16"/>
    </row>
    <row r="29" spans="1:12" s="62" customFormat="1" ht="15.95" customHeight="1">
      <c r="A29" s="187">
        <f>+A23+0.00000001</f>
        <v>1.1602030199999995</v>
      </c>
      <c r="B29" s="238" t="s">
        <v>116</v>
      </c>
      <c r="C29" s="242"/>
      <c r="D29" s="12" t="s">
        <v>55</v>
      </c>
      <c r="E29" s="13"/>
      <c r="F29" s="12"/>
      <c r="G29" s="12"/>
      <c r="H29" s="12"/>
      <c r="I29" s="12"/>
      <c r="J29" s="18"/>
      <c r="K29" s="16">
        <f>SUM(K30:K32)</f>
        <v>123.83000000000001</v>
      </c>
      <c r="L29" s="17">
        <f>+K29</f>
        <v>123.83000000000001</v>
      </c>
    </row>
    <row r="30" spans="1:12" s="62" customFormat="1" ht="15.95" customHeight="1">
      <c r="A30" s="116"/>
      <c r="B30" s="238"/>
      <c r="C30" s="239" t="s">
        <v>117</v>
      </c>
      <c r="D30" s="12"/>
      <c r="E30" s="13">
        <v>1</v>
      </c>
      <c r="F30" s="12"/>
      <c r="G30" s="14" t="s">
        <v>49</v>
      </c>
      <c r="H30" s="14" t="str">
        <f>H25</f>
        <v>-</v>
      </c>
      <c r="I30" s="14" t="s">
        <v>49</v>
      </c>
      <c r="J30" s="18">
        <f>+J25</f>
        <v>150.38</v>
      </c>
      <c r="K30" s="15">
        <f>PRODUCT(E30:J30)</f>
        <v>150.38</v>
      </c>
      <c r="L30" s="17"/>
    </row>
    <row r="31" spans="1:12" s="62" customFormat="1" ht="15.95" customHeight="1">
      <c r="A31" s="116"/>
      <c r="B31" s="238"/>
      <c r="C31" s="239" t="s">
        <v>118</v>
      </c>
      <c r="D31" s="12"/>
      <c r="E31" s="13">
        <v>-1</v>
      </c>
      <c r="F31" s="12"/>
      <c r="G31" s="14" t="s">
        <v>49</v>
      </c>
      <c r="H31" s="14" t="s">
        <v>49</v>
      </c>
      <c r="I31" s="14" t="s">
        <v>49</v>
      </c>
      <c r="J31" s="18">
        <v>21.73</v>
      </c>
      <c r="K31" s="15">
        <f>PRODUCT(E31:J31)</f>
        <v>-21.73</v>
      </c>
      <c r="L31" s="17"/>
    </row>
    <row r="32" spans="1:12" s="62" customFormat="1" ht="15.95" customHeight="1">
      <c r="A32" s="116"/>
      <c r="B32" s="238"/>
      <c r="C32" s="239" t="s">
        <v>119</v>
      </c>
      <c r="D32" s="12"/>
      <c r="E32" s="13">
        <v>-1</v>
      </c>
      <c r="F32" s="12"/>
      <c r="G32" s="14" t="s">
        <v>49</v>
      </c>
      <c r="H32" s="14" t="s">
        <v>49</v>
      </c>
      <c r="I32" s="14" t="s">
        <v>49</v>
      </c>
      <c r="J32" s="18">
        <v>4.82</v>
      </c>
      <c r="K32" s="15">
        <f>PRODUCT(E32:J32)</f>
        <v>-4.82</v>
      </c>
      <c r="L32" s="17"/>
    </row>
    <row r="33" spans="1:12" s="62" customFormat="1" ht="15.95" customHeight="1">
      <c r="A33" s="187">
        <f>+A29+0.00000001</f>
        <v>1.1602030299999995</v>
      </c>
      <c r="B33" s="238" t="s">
        <v>120</v>
      </c>
      <c r="C33" s="239"/>
      <c r="D33" s="12" t="s">
        <v>36</v>
      </c>
      <c r="E33" s="13"/>
      <c r="F33" s="12"/>
      <c r="G33" s="14"/>
      <c r="H33" s="14"/>
      <c r="I33" s="14"/>
      <c r="J33" s="18"/>
      <c r="K33" s="16">
        <f>+SUM(K34:K34)</f>
        <v>105.53400000000001</v>
      </c>
      <c r="L33" s="16">
        <f>+K33</f>
        <v>105.53400000000001</v>
      </c>
    </row>
    <row r="34" spans="1:12" s="62" customFormat="1" ht="15.95" customHeight="1">
      <c r="A34" s="116"/>
      <c r="B34" s="238"/>
      <c r="C34" s="239" t="s">
        <v>121</v>
      </c>
      <c r="D34" s="12"/>
      <c r="E34" s="12">
        <v>1</v>
      </c>
      <c r="F34" s="18"/>
      <c r="G34" s="14">
        <f>+G24</f>
        <v>1.98</v>
      </c>
      <c r="H34" s="14" t="str">
        <f>H30</f>
        <v>-</v>
      </c>
      <c r="I34" s="14" t="s">
        <v>49</v>
      </c>
      <c r="J34" s="18">
        <f>+J24</f>
        <v>53.300000000000004</v>
      </c>
      <c r="K34" s="15">
        <f>+PRODUCT(E34:J34)</f>
        <v>105.53400000000001</v>
      </c>
      <c r="L34" s="16"/>
    </row>
    <row r="35" spans="1:12" s="62" customFormat="1" ht="15.95" customHeight="1">
      <c r="A35" s="187">
        <f>+A33+0.00000001</f>
        <v>1.1602030399999994</v>
      </c>
      <c r="B35" s="238" t="s">
        <v>57</v>
      </c>
      <c r="C35" s="239"/>
      <c r="D35" s="12" t="s">
        <v>36</v>
      </c>
      <c r="E35" s="13"/>
      <c r="F35" s="12"/>
      <c r="G35" s="14"/>
      <c r="H35" s="14"/>
      <c r="I35" s="14"/>
      <c r="J35" s="18"/>
      <c r="K35" s="16">
        <f>+SUM(K36:K37)</f>
        <v>167.22134</v>
      </c>
      <c r="L35" s="16">
        <f>+K35</f>
        <v>167.22134</v>
      </c>
    </row>
    <row r="36" spans="1:12" s="62" customFormat="1" ht="15.95" customHeight="1">
      <c r="A36" s="116"/>
      <c r="B36" s="238"/>
      <c r="C36" s="239" t="s">
        <v>58</v>
      </c>
      <c r="D36" s="12"/>
      <c r="E36" s="12">
        <v>1.3</v>
      </c>
      <c r="F36" s="18">
        <v>1</v>
      </c>
      <c r="G36" s="14" t="s">
        <v>49</v>
      </c>
      <c r="H36" s="14" t="s">
        <v>49</v>
      </c>
      <c r="I36" s="14" t="s">
        <v>59</v>
      </c>
      <c r="J36" s="18">
        <f>+L23</f>
        <v>234.16579999999999</v>
      </c>
      <c r="K36" s="15">
        <f>+PRODUCT(E36:J36)</f>
        <v>304.41554000000002</v>
      </c>
      <c r="L36" s="16"/>
    </row>
    <row r="37" spans="1:12" s="62" customFormat="1" ht="15.95" customHeight="1">
      <c r="A37" s="120"/>
      <c r="B37" s="240"/>
      <c r="C37" s="241" t="s">
        <v>122</v>
      </c>
      <c r="D37" s="84"/>
      <c r="E37" s="84">
        <v>1.3</v>
      </c>
      <c r="F37" s="100">
        <v>-1</v>
      </c>
      <c r="G37" s="86" t="s">
        <v>49</v>
      </c>
      <c r="H37" s="86" t="s">
        <v>49</v>
      </c>
      <c r="I37" s="86" t="s">
        <v>59</v>
      </c>
      <c r="J37" s="100">
        <f>+L33</f>
        <v>105.53400000000001</v>
      </c>
      <c r="K37" s="95">
        <f>+PRODUCT(E37:J37)</f>
        <v>-137.19420000000002</v>
      </c>
      <c r="L37" s="87"/>
    </row>
    <row r="38" spans="1:12" s="62" customFormat="1" ht="15.95" customHeight="1">
      <c r="A38" s="188">
        <f>+A22+0.000001</f>
        <v>1.1602039999999996</v>
      </c>
      <c r="B38" s="235" t="s">
        <v>60</v>
      </c>
      <c r="C38" s="237"/>
      <c r="D38" s="6"/>
      <c r="E38" s="6"/>
      <c r="F38" s="6"/>
      <c r="G38" s="6"/>
      <c r="H38" s="6"/>
      <c r="I38" s="6"/>
      <c r="J38" s="8"/>
      <c r="K38" s="23"/>
      <c r="L38" s="23"/>
    </row>
    <row r="39" spans="1:12" s="62" customFormat="1" ht="15.95" customHeight="1">
      <c r="A39" s="187">
        <f>+A38+0.00000001</f>
        <v>1.1602040099999995</v>
      </c>
      <c r="B39" s="238" t="s">
        <v>123</v>
      </c>
      <c r="C39" s="239"/>
      <c r="D39" s="12" t="s">
        <v>36</v>
      </c>
      <c r="E39" s="12"/>
      <c r="F39" s="12"/>
      <c r="G39" s="12"/>
      <c r="H39" s="12"/>
      <c r="I39" s="12"/>
      <c r="J39" s="18"/>
      <c r="K39" s="17">
        <f>+SUM(K40:K43)</f>
        <v>8.6250000000000018</v>
      </c>
      <c r="L39" s="17">
        <f>+K39</f>
        <v>8.6250000000000018</v>
      </c>
    </row>
    <row r="40" spans="1:12" s="62" customFormat="1" ht="15.95" customHeight="1">
      <c r="A40" s="200"/>
      <c r="B40" s="238"/>
      <c r="C40" s="239" t="s">
        <v>124</v>
      </c>
      <c r="D40" s="12"/>
      <c r="E40" s="13">
        <v>1</v>
      </c>
      <c r="F40" s="12"/>
      <c r="G40" s="14">
        <v>0.1</v>
      </c>
      <c r="H40" s="14" t="str">
        <f>H34</f>
        <v>-</v>
      </c>
      <c r="I40" s="14" t="s">
        <v>49</v>
      </c>
      <c r="J40" s="18">
        <v>102.66</v>
      </c>
      <c r="K40" s="15">
        <f>PRODUCT(E40:J40)</f>
        <v>10.266</v>
      </c>
      <c r="L40" s="37"/>
    </row>
    <row r="41" spans="1:12" s="62" customFormat="1" ht="15.95" customHeight="1">
      <c r="A41" s="200"/>
      <c r="B41" s="238"/>
      <c r="C41" s="239" t="s">
        <v>118</v>
      </c>
      <c r="D41" s="12"/>
      <c r="E41" s="13">
        <v>-1</v>
      </c>
      <c r="F41" s="12"/>
      <c r="G41" s="14">
        <v>0.1</v>
      </c>
      <c r="H41" s="14" t="s">
        <v>49</v>
      </c>
      <c r="I41" s="14" t="s">
        <v>49</v>
      </c>
      <c r="J41" s="18">
        <v>11.1</v>
      </c>
      <c r="K41" s="15">
        <f>PRODUCT(E41:J41)</f>
        <v>-1.1100000000000001</v>
      </c>
      <c r="L41" s="37"/>
    </row>
    <row r="42" spans="1:12" s="62" customFormat="1" ht="15.95" customHeight="1">
      <c r="A42" s="200"/>
      <c r="B42" s="238"/>
      <c r="C42" s="239" t="s">
        <v>125</v>
      </c>
      <c r="D42" s="12"/>
      <c r="E42" s="13">
        <v>-1</v>
      </c>
      <c r="F42" s="12"/>
      <c r="G42" s="18">
        <v>0.1</v>
      </c>
      <c r="H42" s="14" t="s">
        <v>49</v>
      </c>
      <c r="I42" s="14" t="s">
        <v>49</v>
      </c>
      <c r="J42" s="18">
        <v>2.16</v>
      </c>
      <c r="K42" s="15">
        <f>+PRODUCT(E42:J42)</f>
        <v>-0.21600000000000003</v>
      </c>
      <c r="L42" s="37"/>
    </row>
    <row r="43" spans="1:12" s="62" customFormat="1" ht="15.95" customHeight="1">
      <c r="A43" s="201"/>
      <c r="B43" s="240"/>
      <c r="C43" s="241" t="s">
        <v>119</v>
      </c>
      <c r="D43" s="84"/>
      <c r="E43" s="85">
        <v>-1</v>
      </c>
      <c r="F43" s="84"/>
      <c r="G43" s="100">
        <v>0.1</v>
      </c>
      <c r="H43" s="86" t="s">
        <v>49</v>
      </c>
      <c r="I43" s="86" t="s">
        <v>49</v>
      </c>
      <c r="J43" s="100">
        <v>3.15</v>
      </c>
      <c r="K43" s="95">
        <f>+PRODUCT(E43:J43)</f>
        <v>-0.315</v>
      </c>
      <c r="L43" s="109"/>
    </row>
    <row r="44" spans="1:12" s="62" customFormat="1" ht="15.95" customHeight="1">
      <c r="A44" s="188">
        <f>+A38+0.000001</f>
        <v>1.1602049999999995</v>
      </c>
      <c r="B44" s="235" t="s">
        <v>63</v>
      </c>
      <c r="C44" s="237"/>
      <c r="D44" s="6"/>
      <c r="E44" s="6"/>
      <c r="F44" s="6"/>
      <c r="G44" s="6"/>
      <c r="H44" s="6"/>
      <c r="I44" s="6"/>
      <c r="J44" s="8"/>
      <c r="K44" s="20"/>
      <c r="L44" s="23"/>
    </row>
    <row r="45" spans="1:12" s="62" customFormat="1" ht="15.95" customHeight="1">
      <c r="A45" s="187">
        <f>+A44+0.00000001</f>
        <v>1.1602050099999994</v>
      </c>
      <c r="B45" s="238" t="s">
        <v>126</v>
      </c>
      <c r="C45" s="239"/>
      <c r="D45" s="12" t="s">
        <v>36</v>
      </c>
      <c r="E45" s="14"/>
      <c r="F45" s="14"/>
      <c r="G45" s="14"/>
      <c r="H45" s="14"/>
      <c r="I45" s="14"/>
      <c r="J45" s="18"/>
      <c r="K45" s="181">
        <f>SUM(K46:K55)</f>
        <v>33.341200000000001</v>
      </c>
      <c r="L45" s="16">
        <f>+K45</f>
        <v>33.341200000000001</v>
      </c>
    </row>
    <row r="46" spans="1:12" s="62" customFormat="1" ht="15.95" customHeight="1">
      <c r="A46" s="116"/>
      <c r="B46" s="238"/>
      <c r="C46" s="239" t="s">
        <v>127</v>
      </c>
      <c r="D46" s="12"/>
      <c r="E46" s="13">
        <v>1</v>
      </c>
      <c r="F46" s="18"/>
      <c r="G46" s="14">
        <v>0.2</v>
      </c>
      <c r="H46" s="14" t="s">
        <v>49</v>
      </c>
      <c r="I46" s="14" t="s">
        <v>49</v>
      </c>
      <c r="J46" s="18">
        <v>99.85</v>
      </c>
      <c r="K46" s="15">
        <f t="shared" ref="K46:K55" si="0">PRODUCT(E46:J46)</f>
        <v>19.97</v>
      </c>
      <c r="L46" s="16"/>
    </row>
    <row r="47" spans="1:12" s="62" customFormat="1" ht="15.95" customHeight="1">
      <c r="A47" s="116"/>
      <c r="B47" s="238"/>
      <c r="C47" s="239" t="s">
        <v>128</v>
      </c>
      <c r="D47" s="12"/>
      <c r="E47" s="13">
        <v>1</v>
      </c>
      <c r="F47" s="18"/>
      <c r="G47" s="14">
        <v>0.2</v>
      </c>
      <c r="H47" s="14" t="s">
        <v>49</v>
      </c>
      <c r="I47" s="14" t="s">
        <v>49</v>
      </c>
      <c r="J47" s="18">
        <v>1.1599999999999999</v>
      </c>
      <c r="K47" s="15">
        <f t="shared" si="0"/>
        <v>0.23199999999999998</v>
      </c>
      <c r="L47" s="16"/>
    </row>
    <row r="48" spans="1:12" s="62" customFormat="1" ht="15.95" customHeight="1">
      <c r="A48" s="116"/>
      <c r="B48" s="238"/>
      <c r="C48" s="239" t="s">
        <v>129</v>
      </c>
      <c r="D48" s="12"/>
      <c r="E48" s="13">
        <v>1</v>
      </c>
      <c r="F48" s="18"/>
      <c r="G48" s="14">
        <v>0.2</v>
      </c>
      <c r="H48" s="14" t="s">
        <v>49</v>
      </c>
      <c r="I48" s="14" t="s">
        <v>49</v>
      </c>
      <c r="J48" s="18">
        <v>2.0299999999999998</v>
      </c>
      <c r="K48" s="15">
        <f t="shared" si="0"/>
        <v>0.40599999999999997</v>
      </c>
      <c r="L48" s="16"/>
    </row>
    <row r="49" spans="1:12" s="62" customFormat="1" ht="15.95" customHeight="1">
      <c r="A49" s="116"/>
      <c r="B49" s="238"/>
      <c r="C49" s="239" t="s">
        <v>118</v>
      </c>
      <c r="D49" s="12"/>
      <c r="E49" s="13">
        <v>-1</v>
      </c>
      <c r="F49" s="18"/>
      <c r="G49" s="14">
        <v>0.2</v>
      </c>
      <c r="H49" s="14" t="s">
        <v>49</v>
      </c>
      <c r="I49" s="14" t="s">
        <v>49</v>
      </c>
      <c r="J49" s="18">
        <v>11.1</v>
      </c>
      <c r="K49" s="15">
        <f t="shared" si="0"/>
        <v>-2.2200000000000002</v>
      </c>
      <c r="L49" s="16"/>
    </row>
    <row r="50" spans="1:12" s="62" customFormat="1" ht="15.95" customHeight="1">
      <c r="A50" s="116"/>
      <c r="B50" s="238"/>
      <c r="C50" s="239" t="s">
        <v>125</v>
      </c>
      <c r="D50" s="12"/>
      <c r="E50" s="13">
        <v>-1</v>
      </c>
      <c r="F50" s="18"/>
      <c r="G50" s="14">
        <v>0.2</v>
      </c>
      <c r="H50" s="14" t="s">
        <v>49</v>
      </c>
      <c r="I50" s="14" t="s">
        <v>49</v>
      </c>
      <c r="J50" s="18">
        <v>2.16</v>
      </c>
      <c r="K50" s="15">
        <f t="shared" si="0"/>
        <v>-0.43200000000000005</v>
      </c>
      <c r="L50" s="16"/>
    </row>
    <row r="51" spans="1:12" s="62" customFormat="1" ht="15.95" customHeight="1">
      <c r="A51" s="116"/>
      <c r="B51" s="238"/>
      <c r="C51" s="239" t="s">
        <v>119</v>
      </c>
      <c r="D51" s="12"/>
      <c r="E51" s="13">
        <v>-1</v>
      </c>
      <c r="F51" s="18"/>
      <c r="G51" s="14">
        <v>0.2</v>
      </c>
      <c r="H51" s="14" t="s">
        <v>49</v>
      </c>
      <c r="I51" s="14" t="s">
        <v>49</v>
      </c>
      <c r="J51" s="18">
        <v>3.15</v>
      </c>
      <c r="K51" s="15">
        <f t="shared" si="0"/>
        <v>-0.63</v>
      </c>
      <c r="L51" s="16"/>
    </row>
    <row r="52" spans="1:12" s="62" customFormat="1" ht="15.95" customHeight="1">
      <c r="A52" s="116"/>
      <c r="B52" s="238"/>
      <c r="C52" s="239" t="s">
        <v>130</v>
      </c>
      <c r="D52" s="12"/>
      <c r="E52" s="13">
        <v>1</v>
      </c>
      <c r="F52" s="12"/>
      <c r="G52" s="14" t="s">
        <v>49</v>
      </c>
      <c r="H52" s="14">
        <v>42.5</v>
      </c>
      <c r="I52" s="14" t="s">
        <v>49</v>
      </c>
      <c r="J52" s="18">
        <v>0.24</v>
      </c>
      <c r="K52" s="15">
        <f t="shared" si="0"/>
        <v>10.199999999999999</v>
      </c>
      <c r="L52" s="16"/>
    </row>
    <row r="53" spans="1:12" s="62" customFormat="1" ht="15.95" customHeight="1">
      <c r="A53" s="116"/>
      <c r="B53" s="238"/>
      <c r="C53" s="239" t="s">
        <v>131</v>
      </c>
      <c r="D53" s="12"/>
      <c r="E53" s="13">
        <v>1</v>
      </c>
      <c r="F53" s="12"/>
      <c r="G53" s="14" t="s">
        <v>49</v>
      </c>
      <c r="H53" s="14">
        <v>11.81</v>
      </c>
      <c r="I53" s="14" t="s">
        <v>49</v>
      </c>
      <c r="J53" s="18">
        <v>0.24</v>
      </c>
      <c r="K53" s="15">
        <f t="shared" si="0"/>
        <v>2.8344</v>
      </c>
      <c r="L53" s="16"/>
    </row>
    <row r="54" spans="1:12" s="62" customFormat="1" ht="15.95" customHeight="1">
      <c r="A54" s="116"/>
      <c r="B54" s="238"/>
      <c r="C54" s="239" t="s">
        <v>132</v>
      </c>
      <c r="D54" s="12"/>
      <c r="E54" s="13">
        <v>1</v>
      </c>
      <c r="F54" s="12"/>
      <c r="G54" s="14" t="s">
        <v>49</v>
      </c>
      <c r="H54" s="14">
        <v>5.22</v>
      </c>
      <c r="I54" s="14" t="s">
        <v>49</v>
      </c>
      <c r="J54" s="18">
        <v>0.24</v>
      </c>
      <c r="K54" s="15">
        <f t="shared" si="0"/>
        <v>1.2527999999999999</v>
      </c>
      <c r="L54" s="16"/>
    </row>
    <row r="55" spans="1:12" s="62" customFormat="1" ht="15.95" customHeight="1">
      <c r="A55" s="116"/>
      <c r="B55" s="238"/>
      <c r="C55" s="239" t="s">
        <v>133</v>
      </c>
      <c r="D55" s="12"/>
      <c r="E55" s="13">
        <v>1</v>
      </c>
      <c r="F55" s="12"/>
      <c r="G55" s="14" t="s">
        <v>49</v>
      </c>
      <c r="H55" s="14">
        <v>7.2</v>
      </c>
      <c r="I55" s="14" t="s">
        <v>49</v>
      </c>
      <c r="J55" s="18">
        <v>0.24</v>
      </c>
      <c r="K55" s="15">
        <f t="shared" si="0"/>
        <v>1.728</v>
      </c>
      <c r="L55" s="16"/>
    </row>
    <row r="56" spans="1:12" s="62" customFormat="1" ht="15.95" customHeight="1">
      <c r="A56" s="187">
        <f>+A45+0.00000001</f>
        <v>1.1602050199999994</v>
      </c>
      <c r="B56" s="238" t="s">
        <v>134</v>
      </c>
      <c r="C56" s="239"/>
      <c r="D56" s="12" t="s">
        <v>55</v>
      </c>
      <c r="E56" s="14"/>
      <c r="F56" s="14"/>
      <c r="G56" s="14"/>
      <c r="H56" s="14"/>
      <c r="I56" s="14"/>
      <c r="J56" s="18"/>
      <c r="K56" s="181">
        <f>SUM(K57:K61)</f>
        <v>43.577999999999996</v>
      </c>
      <c r="L56" s="16">
        <f>K56</f>
        <v>43.577999999999996</v>
      </c>
    </row>
    <row r="57" spans="1:12" s="62" customFormat="1" ht="15.95" customHeight="1">
      <c r="A57" s="116"/>
      <c r="B57" s="238"/>
      <c r="C57" s="239" t="s">
        <v>135</v>
      </c>
      <c r="D57" s="12"/>
      <c r="E57" s="13">
        <v>1</v>
      </c>
      <c r="F57" s="12"/>
      <c r="G57" s="14">
        <v>0.6</v>
      </c>
      <c r="H57" s="14">
        <f>+H52</f>
        <v>42.5</v>
      </c>
      <c r="I57" s="14" t="s">
        <v>49</v>
      </c>
      <c r="J57" s="18"/>
      <c r="K57" s="15">
        <f>PRODUCT(E57:J57)</f>
        <v>25.5</v>
      </c>
      <c r="L57" s="16"/>
    </row>
    <row r="58" spans="1:12" s="62" customFormat="1" ht="15.95" customHeight="1">
      <c r="A58" s="116"/>
      <c r="B58" s="238"/>
      <c r="C58" s="239" t="s">
        <v>114</v>
      </c>
      <c r="D58" s="12"/>
      <c r="E58" s="13">
        <v>1</v>
      </c>
      <c r="F58" s="12"/>
      <c r="G58" s="14">
        <v>0.6</v>
      </c>
      <c r="H58" s="14">
        <f>+H53</f>
        <v>11.81</v>
      </c>
      <c r="I58" s="14" t="s">
        <v>49</v>
      </c>
      <c r="J58" s="18"/>
      <c r="K58" s="15">
        <f>PRODUCT(E58:J58)</f>
        <v>7.0860000000000003</v>
      </c>
      <c r="L58" s="16"/>
    </row>
    <row r="59" spans="1:12" s="62" customFormat="1" ht="15.95" customHeight="1">
      <c r="A59" s="116"/>
      <c r="B59" s="238"/>
      <c r="C59" s="239" t="s">
        <v>136</v>
      </c>
      <c r="D59" s="12"/>
      <c r="E59" s="13">
        <v>1</v>
      </c>
      <c r="F59" s="12"/>
      <c r="G59" s="14">
        <v>0.6</v>
      </c>
      <c r="H59" s="14">
        <f>+H54</f>
        <v>5.22</v>
      </c>
      <c r="I59" s="14" t="s">
        <v>49</v>
      </c>
      <c r="J59" s="18"/>
      <c r="K59" s="15">
        <f>PRODUCT(E59:J59)</f>
        <v>3.1319999999999997</v>
      </c>
      <c r="L59" s="16"/>
    </row>
    <row r="60" spans="1:12" s="62" customFormat="1" ht="15.95" customHeight="1">
      <c r="A60" s="116"/>
      <c r="B60" s="238"/>
      <c r="C60" s="239" t="s">
        <v>115</v>
      </c>
      <c r="D60" s="12"/>
      <c r="E60" s="13">
        <v>1</v>
      </c>
      <c r="F60" s="12"/>
      <c r="G60" s="14">
        <v>0.6</v>
      </c>
      <c r="H60" s="14">
        <f>+H55</f>
        <v>7.2</v>
      </c>
      <c r="I60" s="14" t="s">
        <v>49</v>
      </c>
      <c r="J60" s="18"/>
      <c r="K60" s="15">
        <f>PRODUCT(E60:J60)</f>
        <v>4.32</v>
      </c>
      <c r="L60" s="16"/>
    </row>
    <row r="61" spans="1:12" s="62" customFormat="1" ht="15.95" customHeight="1">
      <c r="A61" s="116"/>
      <c r="B61" s="238"/>
      <c r="C61" s="239" t="s">
        <v>137</v>
      </c>
      <c r="D61" s="12"/>
      <c r="E61" s="13">
        <v>1</v>
      </c>
      <c r="F61" s="12"/>
      <c r="G61" s="14">
        <v>0.6</v>
      </c>
      <c r="H61" s="14">
        <v>5.9</v>
      </c>
      <c r="I61" s="14" t="s">
        <v>49</v>
      </c>
      <c r="J61" s="18"/>
      <c r="K61" s="15">
        <f>PRODUCT(E61:J61)</f>
        <v>3.54</v>
      </c>
      <c r="L61" s="16"/>
    </row>
    <row r="62" spans="1:12" s="62" customFormat="1" ht="15.95" customHeight="1">
      <c r="A62" s="187">
        <f>+A56+0.00000001</f>
        <v>1.1602050299999993</v>
      </c>
      <c r="B62" s="238" t="s">
        <v>138</v>
      </c>
      <c r="C62" s="242"/>
      <c r="D62" s="12" t="s">
        <v>68</v>
      </c>
      <c r="E62" s="14"/>
      <c r="F62" s="14"/>
      <c r="G62" s="14"/>
      <c r="H62" s="14"/>
      <c r="I62" s="14"/>
      <c r="J62" s="18"/>
      <c r="K62" s="181">
        <f>+K63</f>
        <v>1871.6445000000001</v>
      </c>
      <c r="L62" s="16">
        <f>K62</f>
        <v>1871.6445000000001</v>
      </c>
    </row>
    <row r="63" spans="1:12" s="62" customFormat="1" ht="15.95" customHeight="1">
      <c r="A63" s="116"/>
      <c r="B63" s="238"/>
      <c r="C63" s="239" t="s">
        <v>139</v>
      </c>
      <c r="D63" s="12"/>
      <c r="E63" s="13"/>
      <c r="F63" s="18"/>
      <c r="G63" s="14"/>
      <c r="H63" s="14"/>
      <c r="I63" s="14"/>
      <c r="J63" s="18"/>
      <c r="K63" s="111">
        <f>+'6.acero'!O47</f>
        <v>1871.6445000000001</v>
      </c>
      <c r="L63" s="16"/>
    </row>
    <row r="64" spans="1:12" s="62" customFormat="1" ht="15.95" customHeight="1">
      <c r="A64" s="187">
        <f>+A62+0.00000001</f>
        <v>1.1602050399999992</v>
      </c>
      <c r="B64" s="238" t="s">
        <v>140</v>
      </c>
      <c r="C64" s="239"/>
      <c r="D64" s="12" t="s">
        <v>36</v>
      </c>
      <c r="E64" s="14"/>
      <c r="F64" s="14"/>
      <c r="G64" s="14"/>
      <c r="H64" s="14"/>
      <c r="I64" s="14"/>
      <c r="J64" s="18"/>
      <c r="K64" s="181">
        <f>SUM(K65:K66)</f>
        <v>3.7106250000000003</v>
      </c>
      <c r="L64" s="16">
        <f>+K64</f>
        <v>3.7106250000000003</v>
      </c>
    </row>
    <row r="65" spans="1:12" s="62" customFormat="1" ht="15.95" customHeight="1">
      <c r="A65" s="116"/>
      <c r="B65" s="238"/>
      <c r="C65" s="239" t="s">
        <v>141</v>
      </c>
      <c r="D65" s="12"/>
      <c r="E65" s="13">
        <v>8</v>
      </c>
      <c r="F65" s="18"/>
      <c r="G65" s="14">
        <f>3.35+0.2</f>
        <v>3.5500000000000003</v>
      </c>
      <c r="H65" s="14">
        <v>0.45</v>
      </c>
      <c r="I65" s="14">
        <v>0.25</v>
      </c>
      <c r="J65" s="18"/>
      <c r="K65" s="15">
        <f>PRODUCT(E65:J65)</f>
        <v>3.1950000000000003</v>
      </c>
      <c r="L65" s="16"/>
    </row>
    <row r="66" spans="1:12" s="62" customFormat="1" ht="15.95" customHeight="1">
      <c r="A66" s="116"/>
      <c r="B66" s="238"/>
      <c r="C66" s="239" t="s">
        <v>142</v>
      </c>
      <c r="D66" s="12"/>
      <c r="E66" s="13">
        <v>3</v>
      </c>
      <c r="F66" s="18"/>
      <c r="G66" s="14">
        <f>+G65-0.8</f>
        <v>2.75</v>
      </c>
      <c r="H66" s="14">
        <v>0.25</v>
      </c>
      <c r="I66" s="14">
        <v>0.25</v>
      </c>
      <c r="J66" s="18"/>
      <c r="K66" s="15">
        <f>PRODUCT(E66:J66)</f>
        <v>0.515625</v>
      </c>
      <c r="L66" s="16"/>
    </row>
    <row r="67" spans="1:12" s="62" customFormat="1" ht="15.95" customHeight="1">
      <c r="A67" s="187">
        <f>+A64+0.00000001</f>
        <v>1.1602050499999992</v>
      </c>
      <c r="B67" s="238" t="s">
        <v>143</v>
      </c>
      <c r="C67" s="239"/>
      <c r="D67" s="12" t="s">
        <v>55</v>
      </c>
      <c r="E67" s="14"/>
      <c r="F67" s="14"/>
      <c r="G67" s="14"/>
      <c r="H67" s="14"/>
      <c r="I67" s="14"/>
      <c r="J67" s="18"/>
      <c r="K67" s="181">
        <f>SUM(K68:K69)</f>
        <v>45.169999999999995</v>
      </c>
      <c r="L67" s="16">
        <f>K67</f>
        <v>45.169999999999995</v>
      </c>
    </row>
    <row r="68" spans="1:12" s="62" customFormat="1" ht="15.95" customHeight="1">
      <c r="A68" s="116"/>
      <c r="B68" s="238"/>
      <c r="C68" s="239" t="s">
        <v>141</v>
      </c>
      <c r="D68" s="12"/>
      <c r="E68" s="13">
        <v>8</v>
      </c>
      <c r="F68" s="18"/>
      <c r="G68" s="14">
        <f>+G65-0.2</f>
        <v>3.35</v>
      </c>
      <c r="H68" s="14">
        <f>2*(H65+I65)</f>
        <v>1.4</v>
      </c>
      <c r="I68" s="14" t="s">
        <v>49</v>
      </c>
      <c r="J68" s="18"/>
      <c r="K68" s="15">
        <f>PRODUCT(E68:J68)</f>
        <v>37.519999999999996</v>
      </c>
      <c r="L68" s="16"/>
    </row>
    <row r="69" spans="1:12" s="62" customFormat="1" ht="15.95" customHeight="1">
      <c r="A69" s="116"/>
      <c r="B69" s="238"/>
      <c r="C69" s="239" t="s">
        <v>142</v>
      </c>
      <c r="D69" s="12"/>
      <c r="E69" s="13">
        <v>3</v>
      </c>
      <c r="F69" s="18"/>
      <c r="G69" s="14">
        <f>+G66-0.2</f>
        <v>2.5499999999999998</v>
      </c>
      <c r="H69" s="14">
        <f>2*(H66+I66)</f>
        <v>1</v>
      </c>
      <c r="I69" s="14" t="s">
        <v>49</v>
      </c>
      <c r="J69" s="18"/>
      <c r="K69" s="15">
        <f>PRODUCT(E69:J69)</f>
        <v>7.6499999999999995</v>
      </c>
      <c r="L69" s="16"/>
    </row>
    <row r="70" spans="1:12" s="62" customFormat="1" ht="15.95" customHeight="1">
      <c r="A70" s="187">
        <f>+A67+0.00000001</f>
        <v>1.1602050599999991</v>
      </c>
      <c r="B70" s="238" t="s">
        <v>144</v>
      </c>
      <c r="C70" s="242"/>
      <c r="D70" s="12" t="s">
        <v>68</v>
      </c>
      <c r="E70" s="14"/>
      <c r="F70" s="14"/>
      <c r="G70" s="14"/>
      <c r="H70" s="14"/>
      <c r="I70" s="14"/>
      <c r="J70" s="18"/>
      <c r="K70" s="181">
        <f>+K71</f>
        <v>1135.5940000000001</v>
      </c>
      <c r="L70" s="16">
        <f>K70</f>
        <v>1135.5940000000001</v>
      </c>
    </row>
    <row r="71" spans="1:12" s="62" customFormat="1" ht="15.95" customHeight="1">
      <c r="A71" s="116"/>
      <c r="B71" s="238"/>
      <c r="C71" s="239" t="s">
        <v>139</v>
      </c>
      <c r="D71" s="12"/>
      <c r="E71" s="13"/>
      <c r="F71" s="18"/>
      <c r="G71" s="14"/>
      <c r="H71" s="14"/>
      <c r="I71" s="14"/>
      <c r="J71" s="18"/>
      <c r="K71" s="111">
        <f>+'6.acero'!O70</f>
        <v>1135.5940000000001</v>
      </c>
      <c r="L71" s="16"/>
    </row>
    <row r="72" spans="1:12" s="62" customFormat="1" ht="15.95" customHeight="1">
      <c r="A72" s="187">
        <f>+A70+0.00000001</f>
        <v>1.1602050699999991</v>
      </c>
      <c r="B72" s="238" t="s">
        <v>145</v>
      </c>
      <c r="C72" s="239"/>
      <c r="D72" s="12" t="s">
        <v>36</v>
      </c>
      <c r="E72" s="14"/>
      <c r="F72" s="14"/>
      <c r="G72" s="14"/>
      <c r="H72" s="14"/>
      <c r="I72" s="14"/>
      <c r="J72" s="18"/>
      <c r="K72" s="181">
        <f>SUM(K73:K82)</f>
        <v>32.467749999999995</v>
      </c>
      <c r="L72" s="16">
        <f>+K72</f>
        <v>32.467749999999995</v>
      </c>
    </row>
    <row r="73" spans="1:12" s="62" customFormat="1" ht="15.95" customHeight="1">
      <c r="A73" s="116"/>
      <c r="B73" s="238"/>
      <c r="C73" s="239" t="s">
        <v>146</v>
      </c>
      <c r="D73" s="12"/>
      <c r="E73" s="13">
        <v>4</v>
      </c>
      <c r="F73" s="18"/>
      <c r="G73" s="14">
        <v>3.35</v>
      </c>
      <c r="H73" s="14">
        <v>3.75</v>
      </c>
      <c r="I73" s="14">
        <v>0.25</v>
      </c>
      <c r="J73" s="18"/>
      <c r="K73" s="15">
        <f t="shared" ref="K73:K82" si="1">PRODUCT(E73:J73)</f>
        <v>12.5625</v>
      </c>
      <c r="L73" s="16"/>
    </row>
    <row r="74" spans="1:12" s="62" customFormat="1" ht="15.95" customHeight="1">
      <c r="A74" s="116"/>
      <c r="B74" s="238"/>
      <c r="C74" s="239" t="s">
        <v>146</v>
      </c>
      <c r="D74" s="12"/>
      <c r="E74" s="13">
        <v>2</v>
      </c>
      <c r="F74" s="18"/>
      <c r="G74" s="14">
        <f>+G73</f>
        <v>3.35</v>
      </c>
      <c r="H74" s="14">
        <v>5.5</v>
      </c>
      <c r="I74" s="14">
        <v>0.25</v>
      </c>
      <c r="J74" s="18"/>
      <c r="K74" s="15">
        <f t="shared" si="1"/>
        <v>9.2125000000000004</v>
      </c>
      <c r="L74" s="16"/>
    </row>
    <row r="75" spans="1:12" s="62" customFormat="1" ht="15.95" customHeight="1">
      <c r="A75" s="116"/>
      <c r="B75" s="238"/>
      <c r="C75" s="239" t="s">
        <v>146</v>
      </c>
      <c r="D75" s="12"/>
      <c r="E75" s="13">
        <v>2</v>
      </c>
      <c r="F75" s="18"/>
      <c r="G75" s="14">
        <v>2.5499999999999998</v>
      </c>
      <c r="H75" s="14">
        <v>2.35</v>
      </c>
      <c r="I75" s="14">
        <v>0.25</v>
      </c>
      <c r="J75" s="18"/>
      <c r="K75" s="15">
        <f t="shared" si="1"/>
        <v>2.9962499999999999</v>
      </c>
      <c r="L75" s="16"/>
    </row>
    <row r="76" spans="1:12" s="62" customFormat="1" ht="15.95" customHeight="1">
      <c r="A76" s="116"/>
      <c r="B76" s="238"/>
      <c r="C76" s="239" t="s">
        <v>146</v>
      </c>
      <c r="D76" s="12"/>
      <c r="E76" s="13">
        <v>2</v>
      </c>
      <c r="F76" s="18"/>
      <c r="G76" s="14">
        <v>2.5499999999999998</v>
      </c>
      <c r="H76" s="14">
        <v>3.75</v>
      </c>
      <c r="I76" s="14">
        <v>0.25</v>
      </c>
      <c r="J76" s="18"/>
      <c r="K76" s="15">
        <f t="shared" si="1"/>
        <v>4.78125</v>
      </c>
      <c r="L76" s="16"/>
    </row>
    <row r="77" spans="1:12" s="62" customFormat="1" ht="15.95" customHeight="1">
      <c r="A77" s="116"/>
      <c r="B77" s="238"/>
      <c r="C77" s="239" t="s">
        <v>146</v>
      </c>
      <c r="D77" s="12"/>
      <c r="E77" s="13">
        <v>2</v>
      </c>
      <c r="F77" s="18"/>
      <c r="G77" s="14">
        <v>0.6</v>
      </c>
      <c r="H77" s="14">
        <v>3.75</v>
      </c>
      <c r="I77" s="14">
        <v>0.25</v>
      </c>
      <c r="J77" s="18"/>
      <c r="K77" s="15">
        <f t="shared" si="1"/>
        <v>1.125</v>
      </c>
      <c r="L77" s="16"/>
    </row>
    <row r="78" spans="1:12" s="62" customFormat="1" ht="15.95" customHeight="1">
      <c r="A78" s="116"/>
      <c r="B78" s="238"/>
      <c r="C78" s="239" t="s">
        <v>147</v>
      </c>
      <c r="D78" s="12"/>
      <c r="E78" s="13">
        <v>1</v>
      </c>
      <c r="F78" s="18">
        <v>-1</v>
      </c>
      <c r="G78" s="14">
        <v>0.6</v>
      </c>
      <c r="H78" s="14">
        <v>1.2</v>
      </c>
      <c r="I78" s="14">
        <v>0.25</v>
      </c>
      <c r="J78" s="18"/>
      <c r="K78" s="15">
        <f t="shared" si="1"/>
        <v>-0.18</v>
      </c>
      <c r="L78" s="16"/>
    </row>
    <row r="79" spans="1:12" s="62" customFormat="1" ht="15.95" customHeight="1">
      <c r="A79" s="116"/>
      <c r="B79" s="238"/>
      <c r="C79" s="239" t="s">
        <v>148</v>
      </c>
      <c r="D79" s="12"/>
      <c r="E79" s="13">
        <v>1</v>
      </c>
      <c r="F79" s="18">
        <v>-1</v>
      </c>
      <c r="G79" s="14">
        <v>0.4</v>
      </c>
      <c r="H79" s="14">
        <v>1.2</v>
      </c>
      <c r="I79" s="14">
        <v>0.25</v>
      </c>
      <c r="J79" s="18"/>
      <c r="K79" s="15">
        <f t="shared" si="1"/>
        <v>-0.12</v>
      </c>
      <c r="L79" s="16"/>
    </row>
    <row r="80" spans="1:12" s="62" customFormat="1" ht="15.95" customHeight="1">
      <c r="A80" s="116"/>
      <c r="B80" s="238"/>
      <c r="C80" s="239" t="s">
        <v>149</v>
      </c>
      <c r="D80" s="12"/>
      <c r="E80" s="13">
        <v>1</v>
      </c>
      <c r="F80" s="18"/>
      <c r="G80" s="14">
        <v>1.2</v>
      </c>
      <c r="H80" s="14">
        <v>3.2</v>
      </c>
      <c r="I80" s="14">
        <v>0.15</v>
      </c>
      <c r="J80" s="18"/>
      <c r="K80" s="15">
        <f t="shared" si="1"/>
        <v>0.57599999999999996</v>
      </c>
      <c r="L80" s="16"/>
    </row>
    <row r="81" spans="1:12" s="62" customFormat="1" ht="15.95" customHeight="1">
      <c r="A81" s="116"/>
      <c r="B81" s="238"/>
      <c r="C81" s="239" t="s">
        <v>149</v>
      </c>
      <c r="D81" s="12"/>
      <c r="E81" s="13">
        <v>1</v>
      </c>
      <c r="F81" s="18"/>
      <c r="G81" s="14">
        <v>1.05</v>
      </c>
      <c r="H81" s="14">
        <v>5.9</v>
      </c>
      <c r="I81" s="14">
        <v>0.15</v>
      </c>
      <c r="J81" s="18"/>
      <c r="K81" s="15">
        <f t="shared" si="1"/>
        <v>0.92925000000000002</v>
      </c>
      <c r="L81" s="16"/>
    </row>
    <row r="82" spans="1:12" s="62" customFormat="1" ht="15.95" customHeight="1">
      <c r="A82" s="116"/>
      <c r="B82" s="238"/>
      <c r="C82" s="239" t="s">
        <v>150</v>
      </c>
      <c r="D82" s="12"/>
      <c r="E82" s="13">
        <v>1</v>
      </c>
      <c r="F82" s="18"/>
      <c r="G82" s="14">
        <v>1</v>
      </c>
      <c r="H82" s="14">
        <v>3.9</v>
      </c>
      <c r="I82" s="14">
        <v>0.15</v>
      </c>
      <c r="J82" s="18"/>
      <c r="K82" s="15">
        <f t="shared" si="1"/>
        <v>0.58499999999999996</v>
      </c>
      <c r="L82" s="16"/>
    </row>
    <row r="83" spans="1:12" s="62" customFormat="1" ht="15.95" customHeight="1">
      <c r="A83" s="187">
        <f>+A72+0.00000001</f>
        <v>1.160205079999999</v>
      </c>
      <c r="B83" s="238" t="s">
        <v>151</v>
      </c>
      <c r="C83" s="239"/>
      <c r="D83" s="12" t="s">
        <v>55</v>
      </c>
      <c r="E83" s="14"/>
      <c r="F83" s="14"/>
      <c r="G83" s="14"/>
      <c r="H83" s="14"/>
      <c r="I83" s="14"/>
      <c r="J83" s="18"/>
      <c r="K83" s="14">
        <f>SUM(K84:K91)</f>
        <v>273.29000000000002</v>
      </c>
      <c r="L83" s="16">
        <f>K83</f>
        <v>273.29000000000002</v>
      </c>
    </row>
    <row r="84" spans="1:12" s="62" customFormat="1" ht="15.95" customHeight="1">
      <c r="A84" s="116"/>
      <c r="B84" s="238"/>
      <c r="C84" s="239" t="s">
        <v>146</v>
      </c>
      <c r="D84" s="12"/>
      <c r="E84" s="13">
        <v>4</v>
      </c>
      <c r="F84" s="18">
        <v>2</v>
      </c>
      <c r="G84" s="14">
        <v>3.35</v>
      </c>
      <c r="H84" s="14">
        <v>3.75</v>
      </c>
      <c r="I84" s="14" t="s">
        <v>49</v>
      </c>
      <c r="J84" s="18"/>
      <c r="K84" s="15">
        <f t="shared" ref="K84:K91" si="2">PRODUCT(E84:J84)</f>
        <v>100.5</v>
      </c>
      <c r="L84" s="16"/>
    </row>
    <row r="85" spans="1:12" s="62" customFormat="1" ht="15.95" customHeight="1">
      <c r="A85" s="116"/>
      <c r="B85" s="238"/>
      <c r="C85" s="239" t="s">
        <v>146</v>
      </c>
      <c r="D85" s="12"/>
      <c r="E85" s="13">
        <v>2</v>
      </c>
      <c r="F85" s="18">
        <v>2</v>
      </c>
      <c r="G85" s="14">
        <f>+G84</f>
        <v>3.35</v>
      </c>
      <c r="H85" s="14">
        <v>5.5</v>
      </c>
      <c r="I85" s="14" t="s">
        <v>49</v>
      </c>
      <c r="J85" s="18"/>
      <c r="K85" s="15">
        <f t="shared" si="2"/>
        <v>73.7</v>
      </c>
      <c r="L85" s="16"/>
    </row>
    <row r="86" spans="1:12" s="62" customFormat="1" ht="15.95" customHeight="1">
      <c r="A86" s="116"/>
      <c r="B86" s="238"/>
      <c r="C86" s="239" t="s">
        <v>146</v>
      </c>
      <c r="D86" s="12"/>
      <c r="E86" s="13">
        <v>2</v>
      </c>
      <c r="F86" s="18">
        <v>2</v>
      </c>
      <c r="G86" s="14">
        <v>2.5499999999999998</v>
      </c>
      <c r="H86" s="14">
        <v>2.35</v>
      </c>
      <c r="I86" s="14" t="s">
        <v>49</v>
      </c>
      <c r="J86" s="18"/>
      <c r="K86" s="15">
        <f t="shared" si="2"/>
        <v>23.97</v>
      </c>
      <c r="L86" s="16"/>
    </row>
    <row r="87" spans="1:12" s="62" customFormat="1" ht="15.95" customHeight="1">
      <c r="A87" s="116"/>
      <c r="B87" s="238"/>
      <c r="C87" s="239" t="s">
        <v>146</v>
      </c>
      <c r="D87" s="12"/>
      <c r="E87" s="13">
        <v>2</v>
      </c>
      <c r="F87" s="18">
        <v>2</v>
      </c>
      <c r="G87" s="14">
        <v>2.5499999999999998</v>
      </c>
      <c r="H87" s="14">
        <v>3.75</v>
      </c>
      <c r="I87" s="14" t="s">
        <v>49</v>
      </c>
      <c r="J87" s="18"/>
      <c r="K87" s="15">
        <f t="shared" si="2"/>
        <v>38.25</v>
      </c>
      <c r="L87" s="16"/>
    </row>
    <row r="88" spans="1:12" s="62" customFormat="1" ht="15.95" customHeight="1">
      <c r="A88" s="116"/>
      <c r="B88" s="238"/>
      <c r="C88" s="239" t="s">
        <v>146</v>
      </c>
      <c r="D88" s="12"/>
      <c r="E88" s="13">
        <v>2</v>
      </c>
      <c r="F88" s="18">
        <v>2</v>
      </c>
      <c r="G88" s="14">
        <v>0.6</v>
      </c>
      <c r="H88" s="14">
        <v>3.75</v>
      </c>
      <c r="I88" s="14" t="s">
        <v>49</v>
      </c>
      <c r="J88" s="18"/>
      <c r="K88" s="15">
        <f t="shared" si="2"/>
        <v>9</v>
      </c>
      <c r="L88" s="16"/>
    </row>
    <row r="89" spans="1:12" s="62" customFormat="1" ht="15.95" customHeight="1">
      <c r="A89" s="116"/>
      <c r="B89" s="238"/>
      <c r="C89" s="239" t="s">
        <v>149</v>
      </c>
      <c r="D89" s="12"/>
      <c r="E89" s="13">
        <v>2</v>
      </c>
      <c r="F89" s="18"/>
      <c r="G89" s="14">
        <v>1.2</v>
      </c>
      <c r="H89" s="14">
        <v>3.2</v>
      </c>
      <c r="I89" s="14" t="s">
        <v>49</v>
      </c>
      <c r="J89" s="18"/>
      <c r="K89" s="15">
        <f t="shared" si="2"/>
        <v>7.68</v>
      </c>
      <c r="L89" s="16"/>
    </row>
    <row r="90" spans="1:12" s="62" customFormat="1" ht="15.95" customHeight="1">
      <c r="A90" s="116"/>
      <c r="B90" s="238"/>
      <c r="C90" s="239" t="s">
        <v>149</v>
      </c>
      <c r="D90" s="12"/>
      <c r="E90" s="13">
        <v>2</v>
      </c>
      <c r="F90" s="18"/>
      <c r="G90" s="14">
        <v>1.05</v>
      </c>
      <c r="H90" s="14">
        <v>5.9</v>
      </c>
      <c r="I90" s="14" t="s">
        <v>49</v>
      </c>
      <c r="J90" s="18"/>
      <c r="K90" s="15">
        <f t="shared" si="2"/>
        <v>12.39</v>
      </c>
      <c r="L90" s="16"/>
    </row>
    <row r="91" spans="1:12" s="62" customFormat="1" ht="15.95" customHeight="1">
      <c r="A91" s="116"/>
      <c r="B91" s="238"/>
      <c r="C91" s="239" t="s">
        <v>150</v>
      </c>
      <c r="D91" s="12"/>
      <c r="E91" s="13">
        <v>2</v>
      </c>
      <c r="F91" s="18"/>
      <c r="G91" s="14">
        <v>1</v>
      </c>
      <c r="H91" s="14">
        <v>3.9</v>
      </c>
      <c r="I91" s="14" t="s">
        <v>49</v>
      </c>
      <c r="J91" s="18"/>
      <c r="K91" s="15">
        <f t="shared" si="2"/>
        <v>7.8</v>
      </c>
      <c r="L91" s="16"/>
    </row>
    <row r="92" spans="1:12" s="62" customFormat="1" ht="15.95" customHeight="1">
      <c r="A92" s="187">
        <f>+A83+0.00000001</f>
        <v>1.1602050899999989</v>
      </c>
      <c r="B92" s="238" t="s">
        <v>152</v>
      </c>
      <c r="C92" s="242"/>
      <c r="D92" s="12" t="s">
        <v>68</v>
      </c>
      <c r="E92" s="14"/>
      <c r="F92" s="14"/>
      <c r="G92" s="14"/>
      <c r="H92" s="14"/>
      <c r="I92" s="14"/>
      <c r="J92" s="18"/>
      <c r="K92" s="14">
        <f>+K93</f>
        <v>2891.7221999999997</v>
      </c>
      <c r="L92" s="16">
        <f>K92</f>
        <v>2891.7221999999997</v>
      </c>
    </row>
    <row r="93" spans="1:12" s="62" customFormat="1" ht="15.95" customHeight="1">
      <c r="A93" s="116"/>
      <c r="B93" s="238"/>
      <c r="C93" s="239" t="s">
        <v>139</v>
      </c>
      <c r="D93" s="12"/>
      <c r="E93" s="13"/>
      <c r="F93" s="18"/>
      <c r="G93" s="14"/>
      <c r="H93" s="14"/>
      <c r="I93" s="14"/>
      <c r="J93" s="18"/>
      <c r="K93" s="111">
        <f>+'6.acero'!O78</f>
        <v>2891.7221999999997</v>
      </c>
      <c r="L93" s="16"/>
    </row>
    <row r="94" spans="1:12" s="62" customFormat="1" ht="15.95" customHeight="1">
      <c r="A94" s="187">
        <f>+A92+0.00000001</f>
        <v>1.1602050999999989</v>
      </c>
      <c r="B94" s="238" t="s">
        <v>153</v>
      </c>
      <c r="C94" s="239"/>
      <c r="D94" s="12" t="s">
        <v>36</v>
      </c>
      <c r="E94" s="14"/>
      <c r="F94" s="99"/>
      <c r="G94" s="14"/>
      <c r="H94" s="14"/>
      <c r="I94" s="14"/>
      <c r="J94" s="18"/>
      <c r="K94" s="14">
        <f>SUM(K95:K96)</f>
        <v>6.5</v>
      </c>
      <c r="L94" s="16">
        <f>K94</f>
        <v>6.5</v>
      </c>
    </row>
    <row r="95" spans="1:12" s="62" customFormat="1" ht="15.95" customHeight="1">
      <c r="A95" s="116"/>
      <c r="B95" s="238"/>
      <c r="C95" s="239" t="s">
        <v>154</v>
      </c>
      <c r="D95" s="12"/>
      <c r="E95" s="97">
        <v>4</v>
      </c>
      <c r="F95" s="99"/>
      <c r="G95" s="14">
        <v>0.5</v>
      </c>
      <c r="H95" s="14">
        <v>5.5</v>
      </c>
      <c r="I95" s="14">
        <v>0.25</v>
      </c>
      <c r="J95" s="18"/>
      <c r="K95" s="15">
        <f>PRODUCT(E95:J95)</f>
        <v>2.75</v>
      </c>
      <c r="L95" s="16"/>
    </row>
    <row r="96" spans="1:12" s="62" customFormat="1" ht="15.95" customHeight="1">
      <c r="A96" s="116"/>
      <c r="B96" s="238"/>
      <c r="C96" s="239" t="s">
        <v>155</v>
      </c>
      <c r="D96" s="12"/>
      <c r="E96" s="97">
        <v>10</v>
      </c>
      <c r="F96" s="99"/>
      <c r="G96" s="14">
        <v>0.4</v>
      </c>
      <c r="H96" s="14">
        <v>3.75</v>
      </c>
      <c r="I96" s="14">
        <v>0.25</v>
      </c>
      <c r="J96" s="18"/>
      <c r="K96" s="15">
        <f>PRODUCT(E96:J96)</f>
        <v>3.75</v>
      </c>
      <c r="L96" s="16"/>
    </row>
    <row r="97" spans="1:16" s="62" customFormat="1" ht="15.95" customHeight="1">
      <c r="A97" s="187">
        <f>+A94+0.00000001</f>
        <v>1.1602051099999988</v>
      </c>
      <c r="B97" s="238" t="s">
        <v>156</v>
      </c>
      <c r="C97" s="239"/>
      <c r="D97" s="12" t="s">
        <v>55</v>
      </c>
      <c r="E97" s="14"/>
      <c r="F97" s="14"/>
      <c r="G97" s="14"/>
      <c r="H97" s="14"/>
      <c r="I97" s="14"/>
      <c r="J97" s="18"/>
      <c r="K97" s="14">
        <f>SUM(K98:K99)</f>
        <v>66.875</v>
      </c>
      <c r="L97" s="16">
        <f>+K97</f>
        <v>66.875</v>
      </c>
    </row>
    <row r="98" spans="1:16" s="62" customFormat="1" ht="15.95" customHeight="1">
      <c r="A98" s="116"/>
      <c r="B98" s="238"/>
      <c r="C98" s="239" t="s">
        <v>154</v>
      </c>
      <c r="D98" s="12"/>
      <c r="E98" s="97">
        <f>+E95</f>
        <v>4</v>
      </c>
      <c r="F98" s="99"/>
      <c r="G98" s="14"/>
      <c r="H98" s="14">
        <f>+H95</f>
        <v>5.5</v>
      </c>
      <c r="I98" s="14" t="s">
        <v>157</v>
      </c>
      <c r="J98" s="18">
        <f>2*G95+I95</f>
        <v>1.25</v>
      </c>
      <c r="K98" s="15">
        <f>PRODUCT(E98:J98)</f>
        <v>27.5</v>
      </c>
      <c r="L98" s="16"/>
    </row>
    <row r="99" spans="1:16" s="62" customFormat="1" ht="15.95" customHeight="1">
      <c r="A99" s="116"/>
      <c r="B99" s="238"/>
      <c r="C99" s="239" t="s">
        <v>155</v>
      </c>
      <c r="D99" s="12"/>
      <c r="E99" s="97">
        <f>+E96</f>
        <v>10</v>
      </c>
      <c r="F99" s="99"/>
      <c r="G99" s="14"/>
      <c r="H99" s="14">
        <f>+H96</f>
        <v>3.75</v>
      </c>
      <c r="I99" s="14" t="s">
        <v>157</v>
      </c>
      <c r="J99" s="18">
        <f>2*G96+I96</f>
        <v>1.05</v>
      </c>
      <c r="K99" s="15">
        <f>PRODUCT(E99:J99)</f>
        <v>39.375</v>
      </c>
      <c r="L99" s="16"/>
    </row>
    <row r="100" spans="1:16" s="62" customFormat="1" ht="15.95" customHeight="1">
      <c r="A100" s="187">
        <f>+A97+0.00000001</f>
        <v>1.1602051199999988</v>
      </c>
      <c r="B100" s="238" t="s">
        <v>158</v>
      </c>
      <c r="C100" s="242"/>
      <c r="D100" s="12" t="s">
        <v>68</v>
      </c>
      <c r="E100" s="14"/>
      <c r="F100" s="99"/>
      <c r="G100" s="14"/>
      <c r="H100" s="14"/>
      <c r="I100" s="14"/>
      <c r="J100" s="18"/>
      <c r="K100" s="14">
        <f>SUM(K101:K101)</f>
        <v>871.74600000000009</v>
      </c>
      <c r="L100" s="16">
        <f>K100</f>
        <v>871.74600000000009</v>
      </c>
    </row>
    <row r="101" spans="1:16" s="62" customFormat="1" ht="15.95" customHeight="1">
      <c r="A101" s="116"/>
      <c r="B101" s="238"/>
      <c r="C101" s="243"/>
      <c r="D101" s="12"/>
      <c r="E101" s="97"/>
      <c r="F101" s="99"/>
      <c r="G101" s="14"/>
      <c r="H101" s="14"/>
      <c r="I101" s="14"/>
      <c r="J101" s="18"/>
      <c r="K101" s="15">
        <f>+'6.acero'!O103</f>
        <v>871.74600000000009</v>
      </c>
      <c r="L101" s="16"/>
    </row>
    <row r="102" spans="1:16" s="62" customFormat="1" ht="15.95" customHeight="1">
      <c r="A102" s="187">
        <f>+A100+0.00000001</f>
        <v>1.1602051299999987</v>
      </c>
      <c r="B102" s="238" t="s">
        <v>159</v>
      </c>
      <c r="C102" s="242"/>
      <c r="D102" s="12" t="s">
        <v>36</v>
      </c>
      <c r="E102" s="14"/>
      <c r="F102" s="99"/>
      <c r="G102" s="14"/>
      <c r="H102" s="14"/>
      <c r="I102" s="14"/>
      <c r="J102" s="18"/>
      <c r="K102" s="14">
        <f>SUM(K103:K106)</f>
        <v>17.745000000000005</v>
      </c>
      <c r="L102" s="16">
        <f>K102</f>
        <v>17.745000000000005</v>
      </c>
    </row>
    <row r="103" spans="1:16" s="62" customFormat="1" ht="15.95" customHeight="1">
      <c r="A103" s="202"/>
      <c r="B103" s="238"/>
      <c r="C103" s="239" t="s">
        <v>160</v>
      </c>
      <c r="D103" s="12"/>
      <c r="E103" s="13">
        <v>3</v>
      </c>
      <c r="F103" s="14"/>
      <c r="G103" s="14">
        <v>0.2</v>
      </c>
      <c r="H103" s="14">
        <v>5.9</v>
      </c>
      <c r="I103" s="14">
        <v>3.75</v>
      </c>
      <c r="J103" s="18"/>
      <c r="K103" s="15">
        <f>+PRODUCT(E103:J103)</f>
        <v>13.275000000000004</v>
      </c>
      <c r="L103" s="16"/>
      <c r="N103" s="62" t="s">
        <v>161</v>
      </c>
    </row>
    <row r="104" spans="1:16" s="62" customFormat="1" ht="15.95" customHeight="1">
      <c r="A104" s="202"/>
      <c r="B104" s="238"/>
      <c r="C104" s="239" t="s">
        <v>162</v>
      </c>
      <c r="D104" s="12"/>
      <c r="E104" s="13">
        <v>2</v>
      </c>
      <c r="F104" s="14"/>
      <c r="G104" s="14">
        <v>0.2</v>
      </c>
      <c r="H104" s="14">
        <v>2.35</v>
      </c>
      <c r="I104" s="14">
        <v>3.75</v>
      </c>
      <c r="J104" s="18"/>
      <c r="K104" s="15">
        <f>+PRODUCT(E104:J104)</f>
        <v>3.5250000000000004</v>
      </c>
      <c r="L104" s="16"/>
      <c r="N104" s="62">
        <v>0.14649999999999999</v>
      </c>
      <c r="O104" s="62">
        <v>4.1500000000000004</v>
      </c>
      <c r="P104" s="62">
        <f>+N104*O104</f>
        <v>0.60797500000000004</v>
      </c>
    </row>
    <row r="105" spans="1:16" s="62" customFormat="1" ht="15.95" customHeight="1">
      <c r="A105" s="202"/>
      <c r="B105" s="238"/>
      <c r="C105" s="239" t="s">
        <v>163</v>
      </c>
      <c r="D105" s="12"/>
      <c r="E105" s="13">
        <v>1</v>
      </c>
      <c r="F105" s="14"/>
      <c r="G105" s="14">
        <v>0.2</v>
      </c>
      <c r="H105" s="14">
        <v>12.5</v>
      </c>
      <c r="I105" s="14">
        <v>0.25</v>
      </c>
      <c r="J105" s="18"/>
      <c r="K105" s="15">
        <f>+PRODUCT(E105:J105)</f>
        <v>0.625</v>
      </c>
      <c r="L105" s="16"/>
    </row>
    <row r="106" spans="1:16" s="62" customFormat="1" ht="15.95" customHeight="1">
      <c r="A106" s="202"/>
      <c r="B106" s="238"/>
      <c r="C106" s="239" t="s">
        <v>163</v>
      </c>
      <c r="D106" s="12"/>
      <c r="E106" s="13">
        <v>1</v>
      </c>
      <c r="F106" s="14"/>
      <c r="G106" s="14">
        <v>0.2</v>
      </c>
      <c r="H106" s="14">
        <v>6.4</v>
      </c>
      <c r="I106" s="14">
        <v>0.25</v>
      </c>
      <c r="J106" s="18"/>
      <c r="K106" s="15">
        <f>+PRODUCT(E106:J106)</f>
        <v>0.32000000000000006</v>
      </c>
      <c r="L106" s="16"/>
    </row>
    <row r="107" spans="1:16" s="62" customFormat="1" ht="15.95" customHeight="1">
      <c r="A107" s="187">
        <f>+A102+0.00000001</f>
        <v>1.1602051399999986</v>
      </c>
      <c r="B107" s="238" t="s">
        <v>164</v>
      </c>
      <c r="C107" s="242"/>
      <c r="D107" s="12" t="s">
        <v>55</v>
      </c>
      <c r="E107" s="14"/>
      <c r="F107" s="99"/>
      <c r="G107" s="14"/>
      <c r="H107" s="14"/>
      <c r="I107" s="14"/>
      <c r="J107" s="18"/>
      <c r="K107" s="14">
        <f>SUM(K108:K112)</f>
        <v>100.82500000000002</v>
      </c>
      <c r="L107" s="16">
        <f>K107</f>
        <v>100.82500000000002</v>
      </c>
    </row>
    <row r="108" spans="1:16" s="62" customFormat="1" ht="15.95" customHeight="1">
      <c r="A108" s="116"/>
      <c r="B108" s="238"/>
      <c r="C108" s="239" t="s">
        <v>165</v>
      </c>
      <c r="D108" s="12"/>
      <c r="E108" s="13">
        <f>+E103</f>
        <v>3</v>
      </c>
      <c r="F108" s="14"/>
      <c r="G108" s="14" t="s">
        <v>49</v>
      </c>
      <c r="H108" s="14">
        <f t="shared" ref="H108:I111" si="3">+H103</f>
        <v>5.9</v>
      </c>
      <c r="I108" s="14">
        <f t="shared" si="3"/>
        <v>3.75</v>
      </c>
      <c r="J108" s="18"/>
      <c r="K108" s="15">
        <f>+PRODUCT(E108:J108)</f>
        <v>66.375000000000014</v>
      </c>
      <c r="L108" s="16"/>
    </row>
    <row r="109" spans="1:16" s="62" customFormat="1" ht="15.95" customHeight="1">
      <c r="A109" s="116"/>
      <c r="B109" s="238"/>
      <c r="C109" s="239" t="s">
        <v>166</v>
      </c>
      <c r="D109" s="12"/>
      <c r="E109" s="13">
        <f>+E104</f>
        <v>2</v>
      </c>
      <c r="F109" s="14"/>
      <c r="G109" s="14" t="s">
        <v>49</v>
      </c>
      <c r="H109" s="14">
        <f t="shared" si="3"/>
        <v>2.35</v>
      </c>
      <c r="I109" s="14">
        <f t="shared" si="3"/>
        <v>3.75</v>
      </c>
      <c r="J109" s="18"/>
      <c r="K109" s="15">
        <f>+PRODUCT(E109:J109)</f>
        <v>17.625</v>
      </c>
      <c r="L109" s="16"/>
    </row>
    <row r="110" spans="1:16" s="62" customFormat="1" ht="15.95" customHeight="1">
      <c r="A110" s="116"/>
      <c r="B110" s="238"/>
      <c r="C110" s="239" t="s">
        <v>167</v>
      </c>
      <c r="D110" s="12"/>
      <c r="E110" s="13">
        <f>+E105</f>
        <v>1</v>
      </c>
      <c r="F110" s="14"/>
      <c r="G110" s="14" t="s">
        <v>49</v>
      </c>
      <c r="H110" s="14">
        <f t="shared" si="3"/>
        <v>12.5</v>
      </c>
      <c r="I110" s="14">
        <f t="shared" si="3"/>
        <v>0.25</v>
      </c>
      <c r="J110" s="18"/>
      <c r="K110" s="15">
        <f>+PRODUCT(E110:J110)</f>
        <v>3.125</v>
      </c>
      <c r="L110" s="16"/>
    </row>
    <row r="111" spans="1:16" s="62" customFormat="1" ht="15.95" customHeight="1">
      <c r="A111" s="116"/>
      <c r="B111" s="238"/>
      <c r="C111" s="239" t="s">
        <v>167</v>
      </c>
      <c r="D111" s="12"/>
      <c r="E111" s="13">
        <f>+E106</f>
        <v>1</v>
      </c>
      <c r="F111" s="14"/>
      <c r="G111" s="14" t="s">
        <v>49</v>
      </c>
      <c r="H111" s="14">
        <f t="shared" si="3"/>
        <v>6.4</v>
      </c>
      <c r="I111" s="14">
        <f t="shared" si="3"/>
        <v>0.25</v>
      </c>
      <c r="J111" s="18"/>
      <c r="K111" s="15">
        <f>+PRODUCT(E111:J111)</f>
        <v>1.6</v>
      </c>
      <c r="L111" s="16"/>
    </row>
    <row r="112" spans="1:16" s="62" customFormat="1" ht="15.95" customHeight="1">
      <c r="A112" s="116"/>
      <c r="B112" s="238"/>
      <c r="C112" s="239" t="s">
        <v>87</v>
      </c>
      <c r="D112" s="12"/>
      <c r="E112" s="13">
        <f>+E106</f>
        <v>1</v>
      </c>
      <c r="F112" s="14"/>
      <c r="G112" s="14">
        <v>0.2</v>
      </c>
      <c r="H112" s="14">
        <f>38.3+22.2</f>
        <v>60.5</v>
      </c>
      <c r="I112" s="14" t="s">
        <v>49</v>
      </c>
      <c r="J112" s="18"/>
      <c r="K112" s="15">
        <f>+PRODUCT(E112:J112)</f>
        <v>12.100000000000001</v>
      </c>
      <c r="L112" s="16"/>
    </row>
    <row r="113" spans="1:16" s="62" customFormat="1" ht="15.95" customHeight="1">
      <c r="A113" s="187">
        <f>+A107+0.00000001</f>
        <v>1.1602051499999986</v>
      </c>
      <c r="B113" s="238" t="s">
        <v>89</v>
      </c>
      <c r="C113" s="242"/>
      <c r="D113" s="12" t="s">
        <v>68</v>
      </c>
      <c r="E113" s="14"/>
      <c r="F113" s="99"/>
      <c r="G113" s="14"/>
      <c r="H113" s="14"/>
      <c r="I113" s="14"/>
      <c r="J113" s="18"/>
      <c r="K113" s="14">
        <f>+K114</f>
        <v>1298.8500000000001</v>
      </c>
      <c r="L113" s="16">
        <f>K113</f>
        <v>1298.8500000000001</v>
      </c>
    </row>
    <row r="114" spans="1:16" s="62" customFormat="1" ht="15.95" customHeight="1">
      <c r="A114" s="116"/>
      <c r="B114" s="238"/>
      <c r="C114" s="239"/>
      <c r="D114" s="12"/>
      <c r="E114" s="14"/>
      <c r="F114" s="99"/>
      <c r="G114" s="14"/>
      <c r="H114" s="14"/>
      <c r="I114" s="14"/>
      <c r="J114" s="18"/>
      <c r="K114" s="15">
        <f>+'6.acero'!O126</f>
        <v>1298.8500000000001</v>
      </c>
      <c r="L114" s="16"/>
    </row>
    <row r="115" spans="1:16" s="62" customFormat="1" ht="15.95" customHeight="1">
      <c r="A115" s="187">
        <f>+A113+0.00000001</f>
        <v>1.1602051599999985</v>
      </c>
      <c r="B115" s="238" t="s">
        <v>168</v>
      </c>
      <c r="C115" s="242"/>
      <c r="D115" s="12" t="s">
        <v>36</v>
      </c>
      <c r="E115" s="14"/>
      <c r="F115" s="99"/>
      <c r="G115" s="14"/>
      <c r="H115" s="14"/>
      <c r="I115" s="14"/>
      <c r="J115" s="18"/>
      <c r="K115" s="14">
        <f>SUM(K116:K118)</f>
        <v>1.2382</v>
      </c>
      <c r="L115" s="16">
        <f>K115</f>
        <v>1.2382</v>
      </c>
    </row>
    <row r="116" spans="1:16" s="62" customFormat="1" ht="15.95" customHeight="1">
      <c r="A116" s="202"/>
      <c r="B116" s="238"/>
      <c r="C116" s="239" t="s">
        <v>169</v>
      </c>
      <c r="D116" s="12"/>
      <c r="E116" s="13">
        <v>1</v>
      </c>
      <c r="F116" s="14"/>
      <c r="G116" s="14">
        <v>0.4</v>
      </c>
      <c r="H116" s="14">
        <v>1.5</v>
      </c>
      <c r="I116" s="14">
        <v>0.4</v>
      </c>
      <c r="J116" s="18"/>
      <c r="K116" s="15">
        <f>+PRODUCT(E116:J116)</f>
        <v>0.24000000000000005</v>
      </c>
      <c r="L116" s="16"/>
      <c r="N116" s="62" t="s">
        <v>161</v>
      </c>
    </row>
    <row r="117" spans="1:16" s="62" customFormat="1" ht="15.95" customHeight="1">
      <c r="A117" s="202"/>
      <c r="B117" s="238"/>
      <c r="C117" s="239" t="s">
        <v>170</v>
      </c>
      <c r="D117" s="12"/>
      <c r="E117" s="13">
        <v>1</v>
      </c>
      <c r="F117" s="14"/>
      <c r="G117" s="14">
        <v>0.1</v>
      </c>
      <c r="H117" s="14">
        <v>1.1299999999999999</v>
      </c>
      <c r="I117" s="14">
        <v>1.4</v>
      </c>
      <c r="J117" s="18"/>
      <c r="K117" s="15">
        <f>+PRODUCT(E117:J117)</f>
        <v>0.15819999999999998</v>
      </c>
      <c r="L117" s="16"/>
      <c r="N117" s="62">
        <v>0.14649999999999999</v>
      </c>
      <c r="O117" s="62">
        <v>4.1500000000000004</v>
      </c>
      <c r="P117" s="62">
        <f>+N117*O117</f>
        <v>0.60797500000000004</v>
      </c>
    </row>
    <row r="118" spans="1:16" s="62" customFormat="1" ht="15.95" customHeight="1">
      <c r="A118" s="202"/>
      <c r="B118" s="238"/>
      <c r="C118" s="239" t="s">
        <v>171</v>
      </c>
      <c r="D118" s="12"/>
      <c r="E118" s="13">
        <v>12</v>
      </c>
      <c r="F118" s="14"/>
      <c r="G118" s="14" t="s">
        <v>49</v>
      </c>
      <c r="H118" s="14">
        <v>1.4</v>
      </c>
      <c r="I118" s="14" t="s">
        <v>49</v>
      </c>
      <c r="J118" s="18">
        <v>0.05</v>
      </c>
      <c r="K118" s="15">
        <f>+PRODUCT(E118:J118)</f>
        <v>0.83999999999999986</v>
      </c>
      <c r="L118" s="16"/>
    </row>
    <row r="119" spans="1:16" s="62" customFormat="1" ht="15.95" customHeight="1">
      <c r="A119" s="187">
        <f>+A115+0.00000001</f>
        <v>1.1602051699999985</v>
      </c>
      <c r="B119" s="238" t="s">
        <v>172</v>
      </c>
      <c r="C119" s="242"/>
      <c r="D119" s="12" t="s">
        <v>55</v>
      </c>
      <c r="E119" s="14"/>
      <c r="F119" s="99"/>
      <c r="G119" s="14"/>
      <c r="H119" s="14"/>
      <c r="I119" s="14"/>
      <c r="J119" s="18"/>
      <c r="K119" s="14">
        <f>SUM(K120:K123)</f>
        <v>4.7417999999999996</v>
      </c>
      <c r="L119" s="16">
        <f>K119</f>
        <v>4.7417999999999996</v>
      </c>
    </row>
    <row r="120" spans="1:16" s="62" customFormat="1" ht="15.95" customHeight="1">
      <c r="A120" s="116"/>
      <c r="B120" s="238"/>
      <c r="C120" s="239" t="s">
        <v>169</v>
      </c>
      <c r="D120" s="12"/>
      <c r="E120" s="13">
        <v>1</v>
      </c>
      <c r="F120" s="14"/>
      <c r="G120" s="14">
        <f>+G116</f>
        <v>0.4</v>
      </c>
      <c r="H120" s="14">
        <f>2*(H116+I116)</f>
        <v>3.8</v>
      </c>
      <c r="I120" s="14" t="s">
        <v>49</v>
      </c>
      <c r="J120" s="18"/>
      <c r="K120" s="15">
        <f>+PRODUCT(E120:J120)</f>
        <v>1.52</v>
      </c>
      <c r="L120" s="16"/>
    </row>
    <row r="121" spans="1:16" s="62" customFormat="1" ht="15.95" customHeight="1">
      <c r="A121" s="116"/>
      <c r="B121" s="238"/>
      <c r="C121" s="239" t="s">
        <v>173</v>
      </c>
      <c r="D121" s="12"/>
      <c r="E121" s="13">
        <v>1</v>
      </c>
      <c r="F121" s="14"/>
      <c r="G121" s="14" t="s">
        <v>49</v>
      </c>
      <c r="H121" s="14">
        <f>+H117</f>
        <v>1.1299999999999999</v>
      </c>
      <c r="I121" s="14">
        <f>+I117</f>
        <v>1.4</v>
      </c>
      <c r="J121" s="18"/>
      <c r="K121" s="15">
        <f>+PRODUCT(E121:J121)</f>
        <v>1.5819999999999999</v>
      </c>
      <c r="L121" s="16"/>
    </row>
    <row r="122" spans="1:16" s="62" customFormat="1" ht="15.95" customHeight="1">
      <c r="A122" s="116"/>
      <c r="B122" s="238"/>
      <c r="C122" s="239" t="s">
        <v>174</v>
      </c>
      <c r="D122" s="12"/>
      <c r="E122" s="13">
        <v>2</v>
      </c>
      <c r="F122" s="14"/>
      <c r="G122" s="14" t="s">
        <v>49</v>
      </c>
      <c r="H122" s="14">
        <f>+H121</f>
        <v>1.1299999999999999</v>
      </c>
      <c r="I122" s="14">
        <v>0.23</v>
      </c>
      <c r="J122" s="18"/>
      <c r="K122" s="15">
        <f>+PRODUCT(E122:J122)</f>
        <v>0.51979999999999993</v>
      </c>
      <c r="L122" s="16"/>
    </row>
    <row r="123" spans="1:16" s="62" customFormat="1" ht="15.95" customHeight="1">
      <c r="A123" s="116"/>
      <c r="B123" s="238"/>
      <c r="C123" s="239" t="s">
        <v>175</v>
      </c>
      <c r="D123" s="12"/>
      <c r="E123" s="13">
        <v>5</v>
      </c>
      <c r="F123" s="14"/>
      <c r="G123" s="14">
        <v>0.16</v>
      </c>
      <c r="H123" s="14">
        <v>1.4</v>
      </c>
      <c r="I123" s="14" t="s">
        <v>49</v>
      </c>
      <c r="J123" s="18"/>
      <c r="K123" s="15">
        <f>+PRODUCT(E123:J123)</f>
        <v>1.1199999999999999</v>
      </c>
      <c r="L123" s="16"/>
    </row>
    <row r="124" spans="1:16" s="62" customFormat="1" ht="15.95" customHeight="1">
      <c r="A124" s="187">
        <f>+A119+0.00000001</f>
        <v>1.1602051799999984</v>
      </c>
      <c r="B124" s="238" t="s">
        <v>176</v>
      </c>
      <c r="C124" s="242"/>
      <c r="D124" s="12" t="s">
        <v>68</v>
      </c>
      <c r="E124" s="14"/>
      <c r="F124" s="99"/>
      <c r="G124" s="14"/>
      <c r="H124" s="14"/>
      <c r="I124" s="14"/>
      <c r="J124" s="18"/>
      <c r="K124" s="14">
        <f>+K125</f>
        <v>24.2712</v>
      </c>
      <c r="L124" s="16">
        <f>K124</f>
        <v>24.2712</v>
      </c>
    </row>
    <row r="125" spans="1:16" s="62" customFormat="1" ht="15.95" customHeight="1">
      <c r="A125" s="120"/>
      <c r="B125" s="240"/>
      <c r="C125" s="241"/>
      <c r="D125" s="84"/>
      <c r="E125" s="86"/>
      <c r="F125" s="112"/>
      <c r="G125" s="86"/>
      <c r="H125" s="86"/>
      <c r="I125" s="86"/>
      <c r="J125" s="100"/>
      <c r="K125" s="95">
        <f>+'6.acero'!O136</f>
        <v>24.2712</v>
      </c>
      <c r="L125" s="87"/>
    </row>
    <row r="126" spans="1:16" s="62" customFormat="1" ht="15.95" customHeight="1">
      <c r="A126" s="188">
        <f>+A44+0.000001</f>
        <v>1.1602059999999994</v>
      </c>
      <c r="B126" s="235" t="s">
        <v>177</v>
      </c>
      <c r="C126" s="236"/>
      <c r="D126" s="199"/>
      <c r="E126" s="199"/>
      <c r="F126" s="199"/>
      <c r="G126" s="199"/>
      <c r="H126" s="199"/>
      <c r="I126" s="199"/>
      <c r="J126" s="198"/>
      <c r="K126" s="199"/>
      <c r="L126" s="101"/>
    </row>
    <row r="127" spans="1:16" s="62" customFormat="1" ht="15.95" customHeight="1">
      <c r="A127" s="187">
        <f>+A126+0.00000001</f>
        <v>1.1602060099999993</v>
      </c>
      <c r="B127" s="238" t="s">
        <v>178</v>
      </c>
      <c r="C127" s="239"/>
      <c r="D127" s="12" t="s">
        <v>55</v>
      </c>
      <c r="E127" s="13"/>
      <c r="F127" s="12"/>
      <c r="G127" s="14"/>
      <c r="H127" s="14"/>
      <c r="I127" s="14"/>
      <c r="J127" s="18"/>
      <c r="K127" s="14">
        <f>+SUM(K128:K133)</f>
        <v>36.299999999999997</v>
      </c>
      <c r="L127" s="16">
        <f>K127</f>
        <v>36.299999999999997</v>
      </c>
    </row>
    <row r="128" spans="1:16" s="62" customFormat="1" ht="15.95" customHeight="1">
      <c r="A128" s="116"/>
      <c r="B128" s="238"/>
      <c r="C128" s="239" t="s">
        <v>179</v>
      </c>
      <c r="D128" s="12"/>
      <c r="E128" s="13">
        <v>1</v>
      </c>
      <c r="F128" s="12"/>
      <c r="G128" s="14">
        <v>2.4</v>
      </c>
      <c r="H128" s="14">
        <f>0.5+2.8+2.4+2.35+3.75</f>
        <v>11.799999999999999</v>
      </c>
      <c r="I128" s="14"/>
      <c r="J128" s="18"/>
      <c r="K128" s="15">
        <f t="shared" ref="K128:K133" si="4">PRODUCT(E128:J128)</f>
        <v>28.319999999999997</v>
      </c>
      <c r="L128" s="16"/>
    </row>
    <row r="129" spans="1:12" s="62" customFormat="1" ht="15.95" customHeight="1">
      <c r="A129" s="116"/>
      <c r="B129" s="238"/>
      <c r="C129" s="239" t="s">
        <v>179</v>
      </c>
      <c r="D129" s="12"/>
      <c r="E129" s="13">
        <v>1</v>
      </c>
      <c r="F129" s="12"/>
      <c r="G129" s="14">
        <v>3.2</v>
      </c>
      <c r="H129" s="14">
        <f>2.6+3.85</f>
        <v>6.45</v>
      </c>
      <c r="I129" s="14"/>
      <c r="J129" s="18"/>
      <c r="K129" s="15">
        <f t="shared" si="4"/>
        <v>20.64</v>
      </c>
      <c r="L129" s="16"/>
    </row>
    <row r="130" spans="1:12" s="62" customFormat="1" ht="15.95" customHeight="1">
      <c r="A130" s="116"/>
      <c r="B130" s="238"/>
      <c r="C130" s="239" t="s">
        <v>180</v>
      </c>
      <c r="D130" s="12"/>
      <c r="E130" s="13">
        <v>-2</v>
      </c>
      <c r="F130" s="12"/>
      <c r="G130" s="14">
        <v>2.1</v>
      </c>
      <c r="H130" s="14">
        <v>0.8</v>
      </c>
      <c r="I130" s="14"/>
      <c r="J130" s="18"/>
      <c r="K130" s="15">
        <f t="shared" si="4"/>
        <v>-3.3600000000000003</v>
      </c>
      <c r="L130" s="16"/>
    </row>
    <row r="131" spans="1:12" s="62" customFormat="1" ht="15.95" customHeight="1">
      <c r="A131" s="116"/>
      <c r="B131" s="238"/>
      <c r="C131" s="239" t="s">
        <v>181</v>
      </c>
      <c r="D131" s="12"/>
      <c r="E131" s="13">
        <v>-1</v>
      </c>
      <c r="F131" s="12"/>
      <c r="G131" s="14">
        <v>2.1</v>
      </c>
      <c r="H131" s="14">
        <v>0.7</v>
      </c>
      <c r="I131" s="14"/>
      <c r="J131" s="18"/>
      <c r="K131" s="15">
        <f t="shared" si="4"/>
        <v>-1.47</v>
      </c>
      <c r="L131" s="16"/>
    </row>
    <row r="132" spans="1:12" s="62" customFormat="1" ht="15.95" customHeight="1">
      <c r="A132" s="116"/>
      <c r="B132" s="238"/>
      <c r="C132" s="239" t="s">
        <v>182</v>
      </c>
      <c r="D132" s="12"/>
      <c r="E132" s="13">
        <v>-1</v>
      </c>
      <c r="F132" s="12"/>
      <c r="G132" s="14">
        <v>2.1</v>
      </c>
      <c r="H132" s="14">
        <v>2.2999999999999998</v>
      </c>
      <c r="I132" s="14"/>
      <c r="J132" s="18"/>
      <c r="K132" s="15">
        <f t="shared" si="4"/>
        <v>-4.83</v>
      </c>
      <c r="L132" s="16"/>
    </row>
    <row r="133" spans="1:12" s="62" customFormat="1" ht="15.95" customHeight="1">
      <c r="A133" s="120"/>
      <c r="B133" s="240"/>
      <c r="C133" s="241" t="s">
        <v>183</v>
      </c>
      <c r="D133" s="84"/>
      <c r="E133" s="85">
        <v>-2</v>
      </c>
      <c r="F133" s="84"/>
      <c r="G133" s="86">
        <v>1.2</v>
      </c>
      <c r="H133" s="86">
        <v>1.25</v>
      </c>
      <c r="I133" s="86"/>
      <c r="J133" s="100"/>
      <c r="K133" s="95">
        <f t="shared" si="4"/>
        <v>-3</v>
      </c>
      <c r="L133" s="87"/>
    </row>
    <row r="134" spans="1:12" s="62" customFormat="1" ht="15.95" customHeight="1">
      <c r="A134" s="188">
        <f>+A126+0.000001</f>
        <v>1.1602069999999993</v>
      </c>
      <c r="B134" s="235" t="s">
        <v>184</v>
      </c>
      <c r="C134" s="237"/>
      <c r="D134" s="6"/>
      <c r="E134" s="7"/>
      <c r="F134" s="6"/>
      <c r="G134" s="88"/>
      <c r="H134" s="88"/>
      <c r="I134" s="88"/>
      <c r="J134" s="8"/>
      <c r="K134" s="9"/>
      <c r="L134" s="89"/>
    </row>
    <row r="135" spans="1:12" s="62" customFormat="1" ht="15.95" customHeight="1">
      <c r="A135" s="187">
        <f>+A134+0.00000001</f>
        <v>1.1602070099999993</v>
      </c>
      <c r="B135" s="238" t="s">
        <v>185</v>
      </c>
      <c r="C135" s="242"/>
      <c r="D135" s="12" t="s">
        <v>55</v>
      </c>
      <c r="E135" s="14"/>
      <c r="F135" s="99"/>
      <c r="G135" s="14"/>
      <c r="H135" s="14"/>
      <c r="I135" s="14"/>
      <c r="J135" s="18"/>
      <c r="K135" s="14">
        <f>SUM(K136:K151)</f>
        <v>258.68499999999995</v>
      </c>
      <c r="L135" s="16">
        <f>K135</f>
        <v>258.68499999999995</v>
      </c>
    </row>
    <row r="136" spans="1:12" s="62" customFormat="1" ht="15.95" customHeight="1">
      <c r="A136" s="116"/>
      <c r="B136" s="238"/>
      <c r="C136" s="239" t="str">
        <f>+C73</f>
        <v>M-1</v>
      </c>
      <c r="D136" s="81"/>
      <c r="E136" s="81">
        <f>+E73</f>
        <v>4</v>
      </c>
      <c r="F136" s="81">
        <v>1</v>
      </c>
      <c r="G136" s="81">
        <f>+G73</f>
        <v>3.35</v>
      </c>
      <c r="H136" s="81">
        <f>+H73</f>
        <v>3.75</v>
      </c>
      <c r="I136" s="81" t="s">
        <v>49</v>
      </c>
      <c r="J136" s="81"/>
      <c r="K136" s="15">
        <f t="shared" ref="K136:K157" si="5">PRODUCT(E136:J136)</f>
        <v>50.25</v>
      </c>
      <c r="L136" s="16"/>
    </row>
    <row r="137" spans="1:12" s="62" customFormat="1" ht="15.95" customHeight="1">
      <c r="A137" s="116"/>
      <c r="B137" s="238"/>
      <c r="C137" s="239" t="str">
        <f t="shared" ref="C137:H142" si="6">+C74</f>
        <v>M-1</v>
      </c>
      <c r="D137" s="81"/>
      <c r="E137" s="81">
        <f t="shared" si="6"/>
        <v>2</v>
      </c>
      <c r="F137" s="81">
        <v>1</v>
      </c>
      <c r="G137" s="81">
        <f t="shared" si="6"/>
        <v>3.35</v>
      </c>
      <c r="H137" s="81">
        <f t="shared" si="6"/>
        <v>5.5</v>
      </c>
      <c r="I137" s="81" t="s">
        <v>49</v>
      </c>
      <c r="J137" s="81"/>
      <c r="K137" s="15">
        <f t="shared" si="5"/>
        <v>36.85</v>
      </c>
      <c r="L137" s="16"/>
    </row>
    <row r="138" spans="1:12" s="62" customFormat="1" ht="15.95" customHeight="1">
      <c r="A138" s="116"/>
      <c r="B138" s="238"/>
      <c r="C138" s="239" t="str">
        <f t="shared" si="6"/>
        <v>M-1</v>
      </c>
      <c r="D138" s="81"/>
      <c r="E138" s="81">
        <f t="shared" si="6"/>
        <v>2</v>
      </c>
      <c r="F138" s="81">
        <v>1</v>
      </c>
      <c r="G138" s="81">
        <f t="shared" si="6"/>
        <v>2.5499999999999998</v>
      </c>
      <c r="H138" s="81">
        <f t="shared" si="6"/>
        <v>2.35</v>
      </c>
      <c r="I138" s="81" t="s">
        <v>49</v>
      </c>
      <c r="J138" s="81"/>
      <c r="K138" s="15">
        <f t="shared" si="5"/>
        <v>11.984999999999999</v>
      </c>
      <c r="L138" s="16"/>
    </row>
    <row r="139" spans="1:12" s="62" customFormat="1" ht="15.95" customHeight="1">
      <c r="A139" s="116"/>
      <c r="B139" s="238"/>
      <c r="C139" s="239" t="str">
        <f t="shared" si="6"/>
        <v>M-1</v>
      </c>
      <c r="D139" s="81"/>
      <c r="E139" s="81">
        <f t="shared" si="6"/>
        <v>2</v>
      </c>
      <c r="F139" s="81">
        <v>1</v>
      </c>
      <c r="G139" s="81">
        <f t="shared" si="6"/>
        <v>2.5499999999999998</v>
      </c>
      <c r="H139" s="81">
        <f t="shared" si="6"/>
        <v>3.75</v>
      </c>
      <c r="I139" s="81" t="s">
        <v>49</v>
      </c>
      <c r="J139" s="81"/>
      <c r="K139" s="15">
        <f t="shared" si="5"/>
        <v>19.125</v>
      </c>
      <c r="L139" s="16"/>
    </row>
    <row r="140" spans="1:12" s="62" customFormat="1" ht="15.95" customHeight="1">
      <c r="A140" s="116"/>
      <c r="B140" s="238"/>
      <c r="C140" s="239" t="str">
        <f t="shared" si="6"/>
        <v>M-1</v>
      </c>
      <c r="D140" s="81"/>
      <c r="E140" s="81">
        <f t="shared" si="6"/>
        <v>2</v>
      </c>
      <c r="F140" s="81">
        <v>1</v>
      </c>
      <c r="G140" s="81">
        <f t="shared" si="6"/>
        <v>0.6</v>
      </c>
      <c r="H140" s="81">
        <f t="shared" si="6"/>
        <v>3.75</v>
      </c>
      <c r="I140" s="81" t="s">
        <v>49</v>
      </c>
      <c r="J140" s="81"/>
      <c r="K140" s="15">
        <f t="shared" si="5"/>
        <v>4.5</v>
      </c>
      <c r="L140" s="16"/>
    </row>
    <row r="141" spans="1:12" s="62" customFormat="1" ht="15.95" customHeight="1">
      <c r="A141" s="116"/>
      <c r="B141" s="238"/>
      <c r="C141" s="239" t="str">
        <f t="shared" si="6"/>
        <v>V01</v>
      </c>
      <c r="D141" s="81"/>
      <c r="E141" s="81">
        <f t="shared" si="6"/>
        <v>1</v>
      </c>
      <c r="F141" s="81">
        <f t="shared" si="6"/>
        <v>-1</v>
      </c>
      <c r="G141" s="81">
        <f t="shared" si="6"/>
        <v>0.6</v>
      </c>
      <c r="H141" s="81">
        <f t="shared" si="6"/>
        <v>1.2</v>
      </c>
      <c r="I141" s="81" t="s">
        <v>49</v>
      </c>
      <c r="J141" s="81"/>
      <c r="K141" s="15">
        <f t="shared" si="5"/>
        <v>-0.72</v>
      </c>
      <c r="L141" s="16"/>
    </row>
    <row r="142" spans="1:12" s="62" customFormat="1" ht="15.95" customHeight="1">
      <c r="A142" s="116"/>
      <c r="B142" s="238"/>
      <c r="C142" s="239" t="str">
        <f t="shared" si="6"/>
        <v>V02</v>
      </c>
      <c r="D142" s="81"/>
      <c r="E142" s="81">
        <f t="shared" si="6"/>
        <v>1</v>
      </c>
      <c r="F142" s="81">
        <f t="shared" si="6"/>
        <v>-1</v>
      </c>
      <c r="G142" s="81">
        <f t="shared" si="6"/>
        <v>0.4</v>
      </c>
      <c r="H142" s="81">
        <f t="shared" si="6"/>
        <v>1.2</v>
      </c>
      <c r="I142" s="81" t="s">
        <v>49</v>
      </c>
      <c r="J142" s="81"/>
      <c r="K142" s="15">
        <f t="shared" si="5"/>
        <v>-0.48</v>
      </c>
      <c r="L142" s="16"/>
    </row>
    <row r="143" spans="1:12" s="62" customFormat="1" ht="15.95" customHeight="1">
      <c r="A143" s="116"/>
      <c r="B143" s="238"/>
      <c r="C143" s="239" t="str">
        <f>+C80</f>
        <v>muro en ducto de ventilacion</v>
      </c>
      <c r="D143" s="81"/>
      <c r="E143" s="81">
        <f>+E80</f>
        <v>1</v>
      </c>
      <c r="F143" s="81">
        <v>1</v>
      </c>
      <c r="G143" s="81">
        <f t="shared" ref="G143:H145" si="7">+G80</f>
        <v>1.2</v>
      </c>
      <c r="H143" s="81">
        <f t="shared" si="7"/>
        <v>3.2</v>
      </c>
      <c r="I143" s="81" t="s">
        <v>49</v>
      </c>
      <c r="J143" s="81"/>
      <c r="K143" s="15">
        <f t="shared" si="5"/>
        <v>3.84</v>
      </c>
      <c r="L143" s="16"/>
    </row>
    <row r="144" spans="1:12" s="62" customFormat="1" ht="15.95" customHeight="1">
      <c r="A144" s="116"/>
      <c r="B144" s="238"/>
      <c r="C144" s="239" t="str">
        <f>+C81</f>
        <v>muro en ducto de ventilacion</v>
      </c>
      <c r="D144" s="81"/>
      <c r="E144" s="81">
        <f>+E81</f>
        <v>1</v>
      </c>
      <c r="F144" s="81">
        <v>1</v>
      </c>
      <c r="G144" s="81">
        <f t="shared" si="7"/>
        <v>1.05</v>
      </c>
      <c r="H144" s="81">
        <f t="shared" si="7"/>
        <v>5.9</v>
      </c>
      <c r="I144" s="81" t="s">
        <v>49</v>
      </c>
      <c r="J144" s="18"/>
      <c r="K144" s="15">
        <f t="shared" si="5"/>
        <v>6.1950000000000003</v>
      </c>
      <c r="L144" s="16"/>
    </row>
    <row r="145" spans="1:12" s="62" customFormat="1" ht="15.95" customHeight="1">
      <c r="A145" s="116"/>
      <c r="B145" s="238"/>
      <c r="C145" s="239" t="str">
        <f>+C82</f>
        <v>chimenea de ventilacion</v>
      </c>
      <c r="D145" s="81"/>
      <c r="E145" s="81">
        <f>+E82</f>
        <v>1</v>
      </c>
      <c r="F145" s="81">
        <v>1</v>
      </c>
      <c r="G145" s="81">
        <f t="shared" si="7"/>
        <v>1</v>
      </c>
      <c r="H145" s="81">
        <f t="shared" si="7"/>
        <v>3.9</v>
      </c>
      <c r="I145" s="81" t="s">
        <v>49</v>
      </c>
      <c r="J145" s="18"/>
      <c r="K145" s="15">
        <f t="shared" si="5"/>
        <v>3.9</v>
      </c>
      <c r="L145" s="16"/>
    </row>
    <row r="146" spans="1:12" s="62" customFormat="1" ht="15.95" customHeight="1">
      <c r="A146" s="116"/>
      <c r="B146" s="238"/>
      <c r="C146" s="239" t="str">
        <f>+C128</f>
        <v>muros interiores</v>
      </c>
      <c r="D146" s="81"/>
      <c r="E146" s="81">
        <f>+E128</f>
        <v>1</v>
      </c>
      <c r="F146" s="81">
        <v>2</v>
      </c>
      <c r="G146" s="81">
        <f>+G128</f>
        <v>2.4</v>
      </c>
      <c r="H146" s="81">
        <f>+H128</f>
        <v>11.799999999999999</v>
      </c>
      <c r="I146" s="81" t="s">
        <v>49</v>
      </c>
      <c r="J146" s="18"/>
      <c r="K146" s="15">
        <f t="shared" si="5"/>
        <v>56.639999999999993</v>
      </c>
      <c r="L146" s="16"/>
    </row>
    <row r="147" spans="1:12" s="62" customFormat="1" ht="15.95" customHeight="1">
      <c r="A147" s="116"/>
      <c r="B147" s="238"/>
      <c r="C147" s="239" t="str">
        <f t="shared" ref="C147:H151" si="8">+C129</f>
        <v>muros interiores</v>
      </c>
      <c r="D147" s="81"/>
      <c r="E147" s="81">
        <f t="shared" si="8"/>
        <v>1</v>
      </c>
      <c r="F147" s="81">
        <v>2</v>
      </c>
      <c r="G147" s="81">
        <f t="shared" si="8"/>
        <v>3.2</v>
      </c>
      <c r="H147" s="81">
        <f t="shared" si="8"/>
        <v>6.45</v>
      </c>
      <c r="I147" s="81" t="s">
        <v>49</v>
      </c>
      <c r="J147" s="18"/>
      <c r="K147" s="15">
        <f t="shared" si="5"/>
        <v>41.28</v>
      </c>
      <c r="L147" s="16"/>
    </row>
    <row r="148" spans="1:12" s="62" customFormat="1" ht="15.95" customHeight="1">
      <c r="A148" s="116"/>
      <c r="B148" s="238"/>
      <c r="C148" s="239" t="str">
        <f t="shared" si="8"/>
        <v>P-01</v>
      </c>
      <c r="D148" s="81"/>
      <c r="E148" s="81">
        <f t="shared" si="8"/>
        <v>-2</v>
      </c>
      <c r="F148" s="81">
        <v>-2</v>
      </c>
      <c r="G148" s="81">
        <f t="shared" si="8"/>
        <v>2.1</v>
      </c>
      <c r="H148" s="81">
        <f t="shared" si="8"/>
        <v>0.8</v>
      </c>
      <c r="I148" s="81" t="s">
        <v>49</v>
      </c>
      <c r="J148" s="18"/>
      <c r="K148" s="15">
        <f t="shared" si="5"/>
        <v>6.7200000000000006</v>
      </c>
      <c r="L148" s="16"/>
    </row>
    <row r="149" spans="1:12" s="62" customFormat="1" ht="15.95" customHeight="1">
      <c r="A149" s="116"/>
      <c r="B149" s="238"/>
      <c r="C149" s="239" t="str">
        <f t="shared" si="8"/>
        <v>P-02</v>
      </c>
      <c r="D149" s="81"/>
      <c r="E149" s="81">
        <f t="shared" si="8"/>
        <v>-1</v>
      </c>
      <c r="F149" s="81">
        <v>-2</v>
      </c>
      <c r="G149" s="81">
        <f t="shared" si="8"/>
        <v>2.1</v>
      </c>
      <c r="H149" s="81">
        <f t="shared" si="8"/>
        <v>0.7</v>
      </c>
      <c r="I149" s="81" t="s">
        <v>49</v>
      </c>
      <c r="J149" s="18"/>
      <c r="K149" s="15">
        <f t="shared" si="5"/>
        <v>2.94</v>
      </c>
      <c r="L149" s="16"/>
    </row>
    <row r="150" spans="1:12" s="62" customFormat="1" ht="15.95" customHeight="1">
      <c r="A150" s="116"/>
      <c r="B150" s="238"/>
      <c r="C150" s="239" t="str">
        <f t="shared" si="8"/>
        <v>P-03</v>
      </c>
      <c r="D150" s="81"/>
      <c r="E150" s="81">
        <f t="shared" si="8"/>
        <v>-1</v>
      </c>
      <c r="F150" s="81">
        <v>-2</v>
      </c>
      <c r="G150" s="81">
        <f t="shared" si="8"/>
        <v>2.1</v>
      </c>
      <c r="H150" s="81">
        <f t="shared" si="8"/>
        <v>2.2999999999999998</v>
      </c>
      <c r="I150" s="81" t="s">
        <v>49</v>
      </c>
      <c r="J150" s="18"/>
      <c r="K150" s="15">
        <f t="shared" si="5"/>
        <v>9.66</v>
      </c>
      <c r="L150" s="16"/>
    </row>
    <row r="151" spans="1:12" s="62" customFormat="1" ht="15.95" customHeight="1">
      <c r="A151" s="116"/>
      <c r="B151" s="238"/>
      <c r="C151" s="239" t="str">
        <f t="shared" si="8"/>
        <v>V03</v>
      </c>
      <c r="D151" s="81"/>
      <c r="E151" s="81">
        <f t="shared" si="8"/>
        <v>-2</v>
      </c>
      <c r="F151" s="81">
        <v>-2</v>
      </c>
      <c r="G151" s="81">
        <f t="shared" si="8"/>
        <v>1.2</v>
      </c>
      <c r="H151" s="81">
        <f t="shared" si="8"/>
        <v>1.25</v>
      </c>
      <c r="I151" s="81" t="s">
        <v>49</v>
      </c>
      <c r="J151" s="18"/>
      <c r="K151" s="15">
        <f t="shared" si="5"/>
        <v>6</v>
      </c>
      <c r="L151" s="16"/>
    </row>
    <row r="152" spans="1:12" s="62" customFormat="1" ht="15.95" customHeight="1">
      <c r="A152" s="187">
        <f>+A135+0.00000001</f>
        <v>1.1602070199999992</v>
      </c>
      <c r="B152" s="238" t="s">
        <v>186</v>
      </c>
      <c r="C152" s="242"/>
      <c r="D152" s="12" t="s">
        <v>55</v>
      </c>
      <c r="E152" s="14"/>
      <c r="F152" s="99"/>
      <c r="G152" s="14"/>
      <c r="H152" s="14"/>
      <c r="I152" s="14"/>
      <c r="J152" s="18"/>
      <c r="K152" s="14">
        <f>SUM(K153:K157)</f>
        <v>35.164999999999999</v>
      </c>
      <c r="L152" s="16">
        <f>K152</f>
        <v>35.164999999999999</v>
      </c>
    </row>
    <row r="153" spans="1:12" s="62" customFormat="1" ht="15.95" customHeight="1">
      <c r="A153" s="116"/>
      <c r="B153" s="238"/>
      <c r="C153" s="239" t="str">
        <f>+C136</f>
        <v>M-1</v>
      </c>
      <c r="D153" s="81"/>
      <c r="E153" s="81">
        <f>+E136</f>
        <v>4</v>
      </c>
      <c r="F153" s="81">
        <f>+F136</f>
        <v>1</v>
      </c>
      <c r="G153" s="81">
        <v>0.95</v>
      </c>
      <c r="H153" s="81">
        <f>+H136</f>
        <v>3.75</v>
      </c>
      <c r="I153" s="81" t="str">
        <f>+I136</f>
        <v>-</v>
      </c>
      <c r="J153" s="81"/>
      <c r="K153" s="15">
        <f t="shared" si="5"/>
        <v>14.25</v>
      </c>
      <c r="L153" s="16"/>
    </row>
    <row r="154" spans="1:12" s="62" customFormat="1" ht="15.95" customHeight="1">
      <c r="A154" s="116"/>
      <c r="B154" s="238"/>
      <c r="C154" s="239" t="str">
        <f>+C137</f>
        <v>M-1</v>
      </c>
      <c r="D154" s="81"/>
      <c r="E154" s="81">
        <f>+E137</f>
        <v>2</v>
      </c>
      <c r="F154" s="81">
        <f>+F137</f>
        <v>1</v>
      </c>
      <c r="G154" s="81">
        <v>0.95</v>
      </c>
      <c r="H154" s="81">
        <f>+H137</f>
        <v>5.5</v>
      </c>
      <c r="I154" s="81" t="str">
        <f>+I137</f>
        <v>-</v>
      </c>
      <c r="J154" s="81"/>
      <c r="K154" s="15">
        <f t="shared" si="5"/>
        <v>10.45</v>
      </c>
      <c r="L154" s="16"/>
    </row>
    <row r="155" spans="1:12" s="62" customFormat="1" ht="15.95" customHeight="1">
      <c r="A155" s="116"/>
      <c r="B155" s="238"/>
      <c r="C155" s="239" t="str">
        <f>+C140</f>
        <v>M-1</v>
      </c>
      <c r="D155" s="81"/>
      <c r="E155" s="81">
        <f>+E140</f>
        <v>2</v>
      </c>
      <c r="F155" s="81">
        <f>+F140</f>
        <v>1</v>
      </c>
      <c r="G155" s="81">
        <f>+G140</f>
        <v>0.6</v>
      </c>
      <c r="H155" s="81">
        <f>+H140</f>
        <v>3.75</v>
      </c>
      <c r="I155" s="81" t="str">
        <f>+I140</f>
        <v>-</v>
      </c>
      <c r="J155" s="81"/>
      <c r="K155" s="15">
        <f t="shared" si="5"/>
        <v>4.5</v>
      </c>
      <c r="L155" s="16"/>
    </row>
    <row r="156" spans="1:12" s="62" customFormat="1" ht="15.95" customHeight="1">
      <c r="A156" s="116"/>
      <c r="B156" s="238"/>
      <c r="C156" s="239" t="str">
        <f>+C144</f>
        <v>muro en ducto de ventilacion</v>
      </c>
      <c r="D156" s="81"/>
      <c r="E156" s="81">
        <f>+E144</f>
        <v>1</v>
      </c>
      <c r="F156" s="81">
        <f>+F144</f>
        <v>1</v>
      </c>
      <c r="G156" s="81">
        <v>0.35</v>
      </c>
      <c r="H156" s="81">
        <f>+H144</f>
        <v>5.9</v>
      </c>
      <c r="I156" s="81" t="str">
        <f>+I144</f>
        <v>-</v>
      </c>
      <c r="J156" s="81"/>
      <c r="K156" s="15">
        <f t="shared" si="5"/>
        <v>2.0649999999999999</v>
      </c>
      <c r="L156" s="16"/>
    </row>
    <row r="157" spans="1:12" s="62" customFormat="1" ht="15.95" customHeight="1">
      <c r="A157" s="116"/>
      <c r="B157" s="238"/>
      <c r="C157" s="239" t="str">
        <f>+C145</f>
        <v>chimenea de ventilacion</v>
      </c>
      <c r="D157" s="81"/>
      <c r="E157" s="81">
        <f>+E145</f>
        <v>1</v>
      </c>
      <c r="F157" s="81">
        <f>+F145</f>
        <v>1</v>
      </c>
      <c r="G157" s="81">
        <f>+G145</f>
        <v>1</v>
      </c>
      <c r="H157" s="81">
        <f>+H145</f>
        <v>3.9</v>
      </c>
      <c r="I157" s="81" t="str">
        <f>+I145</f>
        <v>-</v>
      </c>
      <c r="J157" s="81"/>
      <c r="K157" s="15">
        <f t="shared" si="5"/>
        <v>3.9</v>
      </c>
      <c r="L157" s="16"/>
    </row>
    <row r="158" spans="1:12" s="62" customFormat="1" ht="15.95" customHeight="1">
      <c r="A158" s="187">
        <f>+A152+0.00000001</f>
        <v>1.1602070299999991</v>
      </c>
      <c r="B158" s="238" t="s">
        <v>187</v>
      </c>
      <c r="C158" s="239"/>
      <c r="D158" s="12" t="s">
        <v>55</v>
      </c>
      <c r="E158" s="13"/>
      <c r="F158" s="12"/>
      <c r="G158" s="14"/>
      <c r="H158" s="14"/>
      <c r="I158" s="14"/>
      <c r="J158" s="18"/>
      <c r="K158" s="14">
        <f>SUM(K159:K160)</f>
        <v>27.945</v>
      </c>
      <c r="L158" s="16">
        <f>+K158</f>
        <v>27.945</v>
      </c>
    </row>
    <row r="159" spans="1:12" s="62" customFormat="1" ht="15.95" customHeight="1">
      <c r="A159" s="116"/>
      <c r="B159" s="238"/>
      <c r="C159" s="239" t="s">
        <v>141</v>
      </c>
      <c r="D159" s="12"/>
      <c r="E159" s="97">
        <v>8</v>
      </c>
      <c r="F159" s="97"/>
      <c r="G159" s="14">
        <f>+G68</f>
        <v>3.35</v>
      </c>
      <c r="H159" s="14">
        <v>0.9</v>
      </c>
      <c r="I159" s="14" t="str">
        <f>+I68</f>
        <v>-</v>
      </c>
      <c r="J159" s="18"/>
      <c r="K159" s="15">
        <f>PRODUCT(E159:J159)</f>
        <v>24.12</v>
      </c>
      <c r="L159" s="16"/>
    </row>
    <row r="160" spans="1:12" s="62" customFormat="1" ht="15.95" customHeight="1">
      <c r="A160" s="116"/>
      <c r="B160" s="238"/>
      <c r="C160" s="239" t="str">
        <f>+C69</f>
        <v>C-2</v>
      </c>
      <c r="D160" s="12"/>
      <c r="E160" s="97">
        <v>3</v>
      </c>
      <c r="F160" s="97"/>
      <c r="G160" s="14">
        <f>+G69</f>
        <v>2.5499999999999998</v>
      </c>
      <c r="H160" s="14">
        <v>0.5</v>
      </c>
      <c r="I160" s="14" t="str">
        <f>+I69</f>
        <v>-</v>
      </c>
      <c r="J160" s="18"/>
      <c r="K160" s="15">
        <f>PRODUCT(E160:J160)</f>
        <v>3.8249999999999997</v>
      </c>
      <c r="L160" s="16"/>
    </row>
    <row r="161" spans="1:12" s="62" customFormat="1" ht="15.95" customHeight="1">
      <c r="A161" s="187">
        <f>+A158+0.00000001</f>
        <v>1.1602070399999991</v>
      </c>
      <c r="B161" s="238" t="s">
        <v>188</v>
      </c>
      <c r="C161" s="239"/>
      <c r="D161" s="12" t="s">
        <v>55</v>
      </c>
      <c r="E161" s="13"/>
      <c r="F161" s="12"/>
      <c r="G161" s="14"/>
      <c r="H161" s="14"/>
      <c r="I161" s="14"/>
      <c r="J161" s="18"/>
      <c r="K161" s="14">
        <f>+SUM(K162:K163)</f>
        <v>66.875</v>
      </c>
      <c r="L161" s="16">
        <f>+K161</f>
        <v>66.875</v>
      </c>
    </row>
    <row r="162" spans="1:12" s="62" customFormat="1" ht="15.95" customHeight="1">
      <c r="A162" s="116"/>
      <c r="B162" s="238"/>
      <c r="C162" s="239" t="str">
        <f>+C98</f>
        <v>V-101</v>
      </c>
      <c r="D162" s="12"/>
      <c r="E162" s="13">
        <f>+E98</f>
        <v>4</v>
      </c>
      <c r="F162" s="12"/>
      <c r="G162" s="14" t="s">
        <v>49</v>
      </c>
      <c r="H162" s="14">
        <f>+H98</f>
        <v>5.5</v>
      </c>
      <c r="I162" s="14" t="s">
        <v>157</v>
      </c>
      <c r="J162" s="18">
        <f>+J98</f>
        <v>1.25</v>
      </c>
      <c r="K162" s="14">
        <f>PRODUCT(E162:J162)</f>
        <v>27.5</v>
      </c>
      <c r="L162" s="16"/>
    </row>
    <row r="163" spans="1:12" s="62" customFormat="1" ht="15.95" customHeight="1">
      <c r="A163" s="116"/>
      <c r="B163" s="238"/>
      <c r="C163" s="239" t="str">
        <f>+C99</f>
        <v>V-102</v>
      </c>
      <c r="D163" s="12"/>
      <c r="E163" s="13">
        <f>+E99</f>
        <v>10</v>
      </c>
      <c r="F163" s="12"/>
      <c r="G163" s="14" t="s">
        <v>49</v>
      </c>
      <c r="H163" s="14">
        <f>+H99</f>
        <v>3.75</v>
      </c>
      <c r="I163" s="14" t="s">
        <v>157</v>
      </c>
      <c r="J163" s="18">
        <f>+J99</f>
        <v>1.05</v>
      </c>
      <c r="K163" s="14">
        <f>PRODUCT(E163:J163)</f>
        <v>39.375</v>
      </c>
      <c r="L163" s="16"/>
    </row>
    <row r="164" spans="1:12" s="62" customFormat="1" ht="15.95" customHeight="1">
      <c r="A164" s="187">
        <f>+A161+0.00000001</f>
        <v>1.160207049999999</v>
      </c>
      <c r="B164" s="238" t="s">
        <v>189</v>
      </c>
      <c r="C164" s="242"/>
      <c r="D164" s="12" t="s">
        <v>55</v>
      </c>
      <c r="E164" s="14"/>
      <c r="F164" s="99"/>
      <c r="G164" s="14"/>
      <c r="H164" s="14"/>
      <c r="I164" s="14"/>
      <c r="J164" s="18"/>
      <c r="K164" s="14">
        <f>SUM(K165:K168)</f>
        <v>88.725000000000009</v>
      </c>
      <c r="L164" s="16">
        <f>K164</f>
        <v>88.725000000000009</v>
      </c>
    </row>
    <row r="165" spans="1:12" s="62" customFormat="1" ht="15.95" customHeight="1">
      <c r="A165" s="116"/>
      <c r="B165" s="238"/>
      <c r="C165" s="239" t="str">
        <f>+C103</f>
        <v>losa 1</v>
      </c>
      <c r="D165" s="12"/>
      <c r="E165" s="14">
        <f>+E103</f>
        <v>3</v>
      </c>
      <c r="F165" s="14"/>
      <c r="G165" s="14" t="s">
        <v>49</v>
      </c>
      <c r="H165" s="14">
        <f t="shared" ref="H165:I168" si="9">+H103</f>
        <v>5.9</v>
      </c>
      <c r="I165" s="14">
        <f t="shared" si="9"/>
        <v>3.75</v>
      </c>
      <c r="J165" s="14"/>
      <c r="K165" s="14">
        <f>PRODUCT(E165:J165)</f>
        <v>66.375000000000014</v>
      </c>
      <c r="L165" s="16"/>
    </row>
    <row r="166" spans="1:12" s="62" customFormat="1" ht="15.95" customHeight="1">
      <c r="A166" s="116"/>
      <c r="B166" s="238"/>
      <c r="C166" s="239" t="str">
        <f>+C104</f>
        <v>losa 2</v>
      </c>
      <c r="D166" s="12"/>
      <c r="E166" s="14">
        <f>+E104</f>
        <v>2</v>
      </c>
      <c r="F166" s="14"/>
      <c r="G166" s="14" t="s">
        <v>49</v>
      </c>
      <c r="H166" s="14">
        <f t="shared" si="9"/>
        <v>2.35</v>
      </c>
      <c r="I166" s="14">
        <f t="shared" si="9"/>
        <v>3.75</v>
      </c>
      <c r="J166" s="14"/>
      <c r="K166" s="14">
        <f>PRODUCT(E166:J166)</f>
        <v>17.625</v>
      </c>
      <c r="L166" s="16"/>
    </row>
    <row r="167" spans="1:12" s="62" customFormat="1" ht="15.95" customHeight="1">
      <c r="A167" s="116"/>
      <c r="B167" s="238"/>
      <c r="C167" s="239" t="str">
        <f>+C105</f>
        <v>volado</v>
      </c>
      <c r="D167" s="12"/>
      <c r="E167" s="14">
        <f>+E105</f>
        <v>1</v>
      </c>
      <c r="F167" s="14"/>
      <c r="G167" s="14" t="s">
        <v>49</v>
      </c>
      <c r="H167" s="14">
        <f t="shared" si="9"/>
        <v>12.5</v>
      </c>
      <c r="I167" s="14">
        <f t="shared" si="9"/>
        <v>0.25</v>
      </c>
      <c r="J167" s="14"/>
      <c r="K167" s="14">
        <f>PRODUCT(E167:J167)</f>
        <v>3.125</v>
      </c>
      <c r="L167" s="16"/>
    </row>
    <row r="168" spans="1:12" s="62" customFormat="1" ht="15.95" customHeight="1">
      <c r="A168" s="116"/>
      <c r="B168" s="238"/>
      <c r="C168" s="239" t="str">
        <f>+C106</f>
        <v>volado</v>
      </c>
      <c r="D168" s="12"/>
      <c r="E168" s="14">
        <f>+E106</f>
        <v>1</v>
      </c>
      <c r="F168" s="14"/>
      <c r="G168" s="14" t="s">
        <v>49</v>
      </c>
      <c r="H168" s="14">
        <f t="shared" si="9"/>
        <v>6.4</v>
      </c>
      <c r="I168" s="14">
        <f t="shared" si="9"/>
        <v>0.25</v>
      </c>
      <c r="J168" s="14"/>
      <c r="K168" s="14">
        <f>PRODUCT(E168:J168)</f>
        <v>1.6</v>
      </c>
      <c r="L168" s="16"/>
    </row>
    <row r="169" spans="1:12" s="62" customFormat="1" ht="15.95" customHeight="1">
      <c r="A169" s="187">
        <f>+A164+0.00000001</f>
        <v>1.160207059999999</v>
      </c>
      <c r="B169" s="238" t="s">
        <v>190</v>
      </c>
      <c r="C169" s="239"/>
      <c r="D169" s="12" t="s">
        <v>100</v>
      </c>
      <c r="E169" s="14"/>
      <c r="F169" s="99"/>
      <c r="G169" s="14"/>
      <c r="H169" s="14"/>
      <c r="I169" s="14"/>
      <c r="J169" s="18"/>
      <c r="K169" s="14">
        <f>+SUM(K170:K175)</f>
        <v>34.299999999999997</v>
      </c>
      <c r="L169" s="16">
        <f>K169</f>
        <v>34.299999999999997</v>
      </c>
    </row>
    <row r="170" spans="1:12" s="62" customFormat="1" ht="15.95" customHeight="1">
      <c r="A170" s="116"/>
      <c r="B170" s="238"/>
      <c r="C170" s="239" t="str">
        <f>+C130</f>
        <v>P-01</v>
      </c>
      <c r="D170" s="12"/>
      <c r="E170" s="97">
        <v>2</v>
      </c>
      <c r="F170" s="12"/>
      <c r="G170" s="14">
        <f t="shared" ref="G170:H172" si="10">+G130</f>
        <v>2.1</v>
      </c>
      <c r="H170" s="14">
        <f t="shared" si="10"/>
        <v>0.8</v>
      </c>
      <c r="I170" s="14"/>
      <c r="J170" s="18"/>
      <c r="K170" s="15">
        <f t="shared" ref="K170:K175" si="11">(G170*2+H170)*E170</f>
        <v>10</v>
      </c>
      <c r="L170" s="16"/>
    </row>
    <row r="171" spans="1:12" s="62" customFormat="1" ht="15.95" customHeight="1">
      <c r="A171" s="116"/>
      <c r="B171" s="238"/>
      <c r="C171" s="239" t="str">
        <f>+C131</f>
        <v>P-02</v>
      </c>
      <c r="D171" s="12"/>
      <c r="E171" s="97">
        <v>1</v>
      </c>
      <c r="F171" s="12"/>
      <c r="G171" s="14">
        <f t="shared" si="10"/>
        <v>2.1</v>
      </c>
      <c r="H171" s="14">
        <f t="shared" si="10"/>
        <v>0.7</v>
      </c>
      <c r="I171" s="14"/>
      <c r="J171" s="18"/>
      <c r="K171" s="15">
        <f t="shared" si="11"/>
        <v>4.9000000000000004</v>
      </c>
      <c r="L171" s="16"/>
    </row>
    <row r="172" spans="1:12" s="62" customFormat="1" ht="15.95" customHeight="1">
      <c r="A172" s="116"/>
      <c r="B172" s="238"/>
      <c r="C172" s="239" t="str">
        <f>+C132</f>
        <v>P-03</v>
      </c>
      <c r="D172" s="12"/>
      <c r="E172" s="97">
        <v>1</v>
      </c>
      <c r="F172" s="12"/>
      <c r="G172" s="14">
        <f t="shared" si="10"/>
        <v>2.1</v>
      </c>
      <c r="H172" s="14">
        <f t="shared" si="10"/>
        <v>2.2999999999999998</v>
      </c>
      <c r="I172" s="14"/>
      <c r="J172" s="18"/>
      <c r="K172" s="15">
        <f t="shared" si="11"/>
        <v>6.5</v>
      </c>
      <c r="L172" s="16"/>
    </row>
    <row r="173" spans="1:12" s="62" customFormat="1" ht="15.95" customHeight="1">
      <c r="A173" s="116"/>
      <c r="B173" s="238"/>
      <c r="C173" s="239" t="str">
        <f>+C78</f>
        <v>V01</v>
      </c>
      <c r="D173" s="81"/>
      <c r="E173" s="35">
        <f>+E78</f>
        <v>1</v>
      </c>
      <c r="F173" s="35"/>
      <c r="G173" s="35">
        <f>+G78</f>
        <v>0.6</v>
      </c>
      <c r="H173" s="35">
        <f>+H78</f>
        <v>1.2</v>
      </c>
      <c r="I173" s="35"/>
      <c r="J173" s="35"/>
      <c r="K173" s="15">
        <f>(G173*2+H173*2)*E173</f>
        <v>3.5999999999999996</v>
      </c>
      <c r="L173" s="16"/>
    </row>
    <row r="174" spans="1:12" s="62" customFormat="1" ht="15.95" customHeight="1">
      <c r="A174" s="116"/>
      <c r="B174" s="238"/>
      <c r="C174" s="239" t="str">
        <f>+C79</f>
        <v>V02</v>
      </c>
      <c r="D174" s="81"/>
      <c r="E174" s="35">
        <f>+E79</f>
        <v>1</v>
      </c>
      <c r="F174" s="35"/>
      <c r="G174" s="35">
        <f>+G79</f>
        <v>0.4</v>
      </c>
      <c r="H174" s="35">
        <f>+H79</f>
        <v>1.2</v>
      </c>
      <c r="I174" s="35"/>
      <c r="J174" s="35"/>
      <c r="K174" s="15">
        <f t="shared" si="11"/>
        <v>2</v>
      </c>
      <c r="L174" s="16"/>
    </row>
    <row r="175" spans="1:12" s="62" customFormat="1" ht="15.95" customHeight="1">
      <c r="A175" s="116"/>
      <c r="B175" s="238"/>
      <c r="C175" s="239" t="str">
        <f>+C133</f>
        <v>V03</v>
      </c>
      <c r="D175" s="81"/>
      <c r="E175" s="35">
        <v>2</v>
      </c>
      <c r="F175" s="81"/>
      <c r="G175" s="35">
        <f>+G133</f>
        <v>1.2</v>
      </c>
      <c r="H175" s="35">
        <f>+H133</f>
        <v>1.25</v>
      </c>
      <c r="I175" s="35"/>
      <c r="J175" s="35"/>
      <c r="K175" s="15">
        <f t="shared" si="11"/>
        <v>7.3</v>
      </c>
      <c r="L175" s="16"/>
    </row>
    <row r="176" spans="1:12" s="62" customFormat="1" ht="15.95" customHeight="1">
      <c r="A176" s="187">
        <f>+A169+0.00000001</f>
        <v>1.1602070699999989</v>
      </c>
      <c r="B176" s="238" t="s">
        <v>191</v>
      </c>
      <c r="C176" s="239"/>
      <c r="D176" s="12" t="s">
        <v>100</v>
      </c>
      <c r="E176" s="13"/>
      <c r="F176" s="12"/>
      <c r="G176" s="14"/>
      <c r="H176" s="14"/>
      <c r="I176" s="14"/>
      <c r="J176" s="18"/>
      <c r="K176" s="14">
        <f>+SUM(K177:K178)</f>
        <v>37.35</v>
      </c>
      <c r="L176" s="16">
        <f>+K176</f>
        <v>37.35</v>
      </c>
    </row>
    <row r="177" spans="1:12" s="62" customFormat="1" ht="15.95" customHeight="1">
      <c r="A177" s="116"/>
      <c r="B177" s="238"/>
      <c r="C177" s="239" t="s">
        <v>192</v>
      </c>
      <c r="D177" s="12" t="s">
        <v>100</v>
      </c>
      <c r="E177" s="13"/>
      <c r="F177" s="12">
        <v>1</v>
      </c>
      <c r="G177" s="14"/>
      <c r="H177" s="14">
        <f>+SUM(H84:H88)</f>
        <v>19.100000000000001</v>
      </c>
      <c r="I177" s="14"/>
      <c r="J177" s="18"/>
      <c r="K177" s="14">
        <f>PRODUCT(E177:J177)</f>
        <v>19.100000000000001</v>
      </c>
      <c r="L177" s="16"/>
    </row>
    <row r="178" spans="1:12" s="62" customFormat="1" ht="15.95" customHeight="1">
      <c r="A178" s="116"/>
      <c r="B178" s="238"/>
      <c r="C178" s="239" t="s">
        <v>193</v>
      </c>
      <c r="D178" s="12" t="s">
        <v>100</v>
      </c>
      <c r="E178" s="13"/>
      <c r="F178" s="12">
        <v>1</v>
      </c>
      <c r="G178" s="14"/>
      <c r="H178" s="14">
        <f>+SUM(H128:H129)</f>
        <v>18.25</v>
      </c>
      <c r="I178" s="14"/>
      <c r="J178" s="18"/>
      <c r="K178" s="14">
        <f>PRODUCT(E178:J178)</f>
        <v>18.25</v>
      </c>
      <c r="L178" s="16"/>
    </row>
    <row r="179" spans="1:12" s="62" customFormat="1" ht="15.95" customHeight="1">
      <c r="A179" s="187">
        <f>+A176+0.00000001</f>
        <v>1.1602070799999988</v>
      </c>
      <c r="B179" s="238" t="s">
        <v>194</v>
      </c>
      <c r="C179" s="239"/>
      <c r="D179" s="12" t="s">
        <v>55</v>
      </c>
      <c r="E179" s="13"/>
      <c r="F179" s="12"/>
      <c r="G179" s="14"/>
      <c r="H179" s="14"/>
      <c r="I179" s="14"/>
      <c r="J179" s="18"/>
      <c r="K179" s="14">
        <f>SUM(K180:K180)</f>
        <v>79.67</v>
      </c>
      <c r="L179" s="16">
        <f>+K179</f>
        <v>79.67</v>
      </c>
    </row>
    <row r="180" spans="1:12" s="62" customFormat="1" ht="15.95" customHeight="1">
      <c r="A180" s="120"/>
      <c r="B180" s="240"/>
      <c r="C180" s="241" t="s">
        <v>195</v>
      </c>
      <c r="D180" s="84" t="s">
        <v>55</v>
      </c>
      <c r="E180" s="85"/>
      <c r="F180" s="84"/>
      <c r="G180" s="86"/>
      <c r="H180" s="86"/>
      <c r="I180" s="86"/>
      <c r="J180" s="100">
        <f>83.13-0.49-0.57-2.4</f>
        <v>79.67</v>
      </c>
      <c r="K180" s="86">
        <f>PRODUCT(F180:J180)</f>
        <v>79.67</v>
      </c>
      <c r="L180" s="87"/>
    </row>
    <row r="181" spans="1:12" s="62" customFormat="1" ht="15.95" customHeight="1">
      <c r="A181" s="188">
        <f>+A134+0.000001</f>
        <v>1.1602079999999992</v>
      </c>
      <c r="B181" s="235" t="s">
        <v>196</v>
      </c>
      <c r="C181" s="237"/>
      <c r="D181" s="6"/>
      <c r="E181" s="7"/>
      <c r="F181" s="6"/>
      <c r="G181" s="88"/>
      <c r="H181" s="88"/>
      <c r="I181" s="88"/>
      <c r="J181" s="8"/>
      <c r="K181" s="9"/>
      <c r="L181" s="89"/>
    </row>
    <row r="182" spans="1:12" s="62" customFormat="1" ht="15.95" customHeight="1">
      <c r="A182" s="187">
        <f>+A181+0.00000001</f>
        <v>1.1602080099999992</v>
      </c>
      <c r="B182" s="238" t="s">
        <v>197</v>
      </c>
      <c r="C182" s="242"/>
      <c r="D182" s="12" t="s">
        <v>55</v>
      </c>
      <c r="E182" s="14"/>
      <c r="F182" s="14"/>
      <c r="G182" s="14"/>
      <c r="H182" s="14"/>
      <c r="I182" s="14"/>
      <c r="J182" s="18"/>
      <c r="K182" s="14">
        <f>+SUM(K183:K185)</f>
        <v>4.2</v>
      </c>
      <c r="L182" s="16">
        <f>K182</f>
        <v>4.2</v>
      </c>
    </row>
    <row r="183" spans="1:12" s="62" customFormat="1" ht="15.95" customHeight="1">
      <c r="A183" s="116"/>
      <c r="B183" s="238"/>
      <c r="C183" s="239" t="str">
        <f>+C173</f>
        <v>V01</v>
      </c>
      <c r="D183" s="12"/>
      <c r="E183" s="13">
        <f>+E173</f>
        <v>1</v>
      </c>
      <c r="F183" s="99"/>
      <c r="G183" s="14">
        <f t="shared" ref="G183:H185" si="12">+G173</f>
        <v>0.6</v>
      </c>
      <c r="H183" s="14">
        <f t="shared" si="12"/>
        <v>1.2</v>
      </c>
      <c r="I183" s="14"/>
      <c r="J183" s="18"/>
      <c r="K183" s="15">
        <f>PRODUCT(E183:J183)</f>
        <v>0.72</v>
      </c>
      <c r="L183" s="16"/>
    </row>
    <row r="184" spans="1:12" s="62" customFormat="1" ht="15.95" customHeight="1">
      <c r="A184" s="116"/>
      <c r="B184" s="238"/>
      <c r="C184" s="239" t="str">
        <f>+C174</f>
        <v>V02</v>
      </c>
      <c r="D184" s="12"/>
      <c r="E184" s="13">
        <f>+E174</f>
        <v>1</v>
      </c>
      <c r="F184" s="99"/>
      <c r="G184" s="14">
        <f t="shared" si="12"/>
        <v>0.4</v>
      </c>
      <c r="H184" s="14">
        <f t="shared" si="12"/>
        <v>1.2</v>
      </c>
      <c r="I184" s="14"/>
      <c r="J184" s="18"/>
      <c r="K184" s="15">
        <f>PRODUCT(E184:J184)</f>
        <v>0.48</v>
      </c>
      <c r="L184" s="16"/>
    </row>
    <row r="185" spans="1:12" s="62" customFormat="1" ht="15.95" customHeight="1">
      <c r="A185" s="116"/>
      <c r="B185" s="238"/>
      <c r="C185" s="239" t="str">
        <f>+C175</f>
        <v>V03</v>
      </c>
      <c r="D185" s="12"/>
      <c r="E185" s="13">
        <f>+E175</f>
        <v>2</v>
      </c>
      <c r="F185" s="99"/>
      <c r="G185" s="14">
        <f t="shared" si="12"/>
        <v>1.2</v>
      </c>
      <c r="H185" s="14">
        <f t="shared" si="12"/>
        <v>1.25</v>
      </c>
      <c r="I185" s="14"/>
      <c r="J185" s="18"/>
      <c r="K185" s="15">
        <f>PRODUCT(E185:J185)</f>
        <v>3</v>
      </c>
      <c r="L185" s="16"/>
    </row>
    <row r="186" spans="1:12" s="62" customFormat="1" ht="15.95" customHeight="1">
      <c r="A186" s="187">
        <f>+A182+0.00000001</f>
        <v>1.1602080199999991</v>
      </c>
      <c r="B186" s="238" t="s">
        <v>198</v>
      </c>
      <c r="C186" s="239"/>
      <c r="D186" s="12" t="s">
        <v>55</v>
      </c>
      <c r="E186" s="13"/>
      <c r="F186" s="12"/>
      <c r="G186" s="14"/>
      <c r="H186" s="14"/>
      <c r="I186" s="14"/>
      <c r="J186" s="18"/>
      <c r="K186" s="14">
        <f>+K187</f>
        <v>4.2</v>
      </c>
      <c r="L186" s="110">
        <f>+K186</f>
        <v>4.2</v>
      </c>
    </row>
    <row r="187" spans="1:12" s="62" customFormat="1" ht="15.95" customHeight="1">
      <c r="A187" s="116"/>
      <c r="B187" s="238"/>
      <c r="C187" s="239" t="s">
        <v>199</v>
      </c>
      <c r="D187" s="12"/>
      <c r="E187" s="13"/>
      <c r="F187" s="12"/>
      <c r="G187" s="14"/>
      <c r="H187" s="14"/>
      <c r="I187" s="14"/>
      <c r="J187" s="18">
        <f>+K182</f>
        <v>4.2</v>
      </c>
      <c r="K187" s="15">
        <f>+J187</f>
        <v>4.2</v>
      </c>
      <c r="L187" s="110"/>
    </row>
    <row r="188" spans="1:12" s="62" customFormat="1" ht="15.95" customHeight="1">
      <c r="A188" s="187">
        <f>+A186+0.00000001</f>
        <v>1.1602080299999991</v>
      </c>
      <c r="B188" s="238" t="s">
        <v>200</v>
      </c>
      <c r="C188" s="239"/>
      <c r="D188" s="12" t="s">
        <v>55</v>
      </c>
      <c r="E188" s="97"/>
      <c r="F188" s="14"/>
      <c r="G188" s="14"/>
      <c r="H188" s="14"/>
      <c r="I188" s="14"/>
      <c r="J188" s="18"/>
      <c r="K188" s="14">
        <f>+SUM(K189:K190)</f>
        <v>4.83</v>
      </c>
      <c r="L188" s="16">
        <f>K188</f>
        <v>4.83</v>
      </c>
    </row>
    <row r="189" spans="1:12" s="62" customFormat="1" ht="15.95" customHeight="1">
      <c r="A189" s="116"/>
      <c r="B189" s="238"/>
      <c r="C189" s="239" t="str">
        <f>+C170</f>
        <v>P-01</v>
      </c>
      <c r="D189" s="12"/>
      <c r="E189" s="97">
        <f>+E170</f>
        <v>2</v>
      </c>
      <c r="F189" s="14"/>
      <c r="G189" s="14">
        <f>+G170</f>
        <v>2.1</v>
      </c>
      <c r="H189" s="14">
        <f>+H170</f>
        <v>0.8</v>
      </c>
      <c r="I189" s="14"/>
      <c r="J189" s="18"/>
      <c r="K189" s="15">
        <f>PRODUCT(E189:J189)</f>
        <v>3.3600000000000003</v>
      </c>
      <c r="L189" s="110"/>
    </row>
    <row r="190" spans="1:12" s="62" customFormat="1" ht="15.95" customHeight="1">
      <c r="A190" s="116"/>
      <c r="B190" s="238"/>
      <c r="C190" s="239" t="str">
        <f>+C171</f>
        <v>P-02</v>
      </c>
      <c r="D190" s="12"/>
      <c r="E190" s="97">
        <f>+E171</f>
        <v>1</v>
      </c>
      <c r="F190" s="14"/>
      <c r="G190" s="14">
        <f>+G171</f>
        <v>2.1</v>
      </c>
      <c r="H190" s="14">
        <f>+H171</f>
        <v>0.7</v>
      </c>
      <c r="I190" s="14"/>
      <c r="J190" s="18"/>
      <c r="K190" s="15">
        <f>PRODUCT(E190:J190)</f>
        <v>1.47</v>
      </c>
      <c r="L190" s="110"/>
    </row>
    <row r="191" spans="1:12" s="62" customFormat="1" ht="15.95" customHeight="1">
      <c r="A191" s="187">
        <f>+A188+0.00000001</f>
        <v>1.160208039999999</v>
      </c>
      <c r="B191" s="238" t="s">
        <v>201</v>
      </c>
      <c r="C191" s="239"/>
      <c r="D191" s="12" t="s">
        <v>55</v>
      </c>
      <c r="E191" s="97"/>
      <c r="F191" s="14"/>
      <c r="G191" s="14"/>
      <c r="H191" s="14"/>
      <c r="I191" s="14"/>
      <c r="J191" s="123"/>
      <c r="K191" s="14">
        <f>+SUM(K192:K192)</f>
        <v>4.83</v>
      </c>
      <c r="L191" s="16">
        <f>K191</f>
        <v>4.83</v>
      </c>
    </row>
    <row r="192" spans="1:12" s="62" customFormat="1" ht="15.95" customHeight="1">
      <c r="A192" s="116"/>
      <c r="B192" s="238"/>
      <c r="C192" s="239" t="str">
        <f>+C172</f>
        <v>P-03</v>
      </c>
      <c r="D192" s="37"/>
      <c r="E192" s="97">
        <f>+E172</f>
        <v>1</v>
      </c>
      <c r="F192" s="12"/>
      <c r="G192" s="14">
        <f>+G172</f>
        <v>2.1</v>
      </c>
      <c r="H192" s="14">
        <f>+H172</f>
        <v>2.2999999999999998</v>
      </c>
      <c r="I192" s="37"/>
      <c r="J192" s="123"/>
      <c r="K192" s="15">
        <f>PRODUCT(E192:J192)</f>
        <v>4.83</v>
      </c>
      <c r="L192" s="110"/>
    </row>
    <row r="193" spans="1:12" s="62" customFormat="1" ht="15.95" customHeight="1">
      <c r="A193" s="187">
        <f>+A191+0.00000001</f>
        <v>1.1602080499999989</v>
      </c>
      <c r="B193" s="238" t="s">
        <v>202</v>
      </c>
      <c r="C193" s="244"/>
      <c r="D193" s="12" t="s">
        <v>48</v>
      </c>
      <c r="E193" s="14"/>
      <c r="F193" s="14"/>
      <c r="G193" s="14"/>
      <c r="H193" s="14"/>
      <c r="I193" s="14"/>
      <c r="J193" s="18"/>
      <c r="K193" s="14">
        <f>K194</f>
        <v>2</v>
      </c>
      <c r="L193" s="16">
        <f>K193</f>
        <v>2</v>
      </c>
    </row>
    <row r="194" spans="1:12" s="62" customFormat="1" ht="15.95" customHeight="1">
      <c r="A194" s="116"/>
      <c r="B194" s="245"/>
      <c r="C194" s="246"/>
      <c r="D194" s="12" t="s">
        <v>48</v>
      </c>
      <c r="E194" s="97">
        <v>2</v>
      </c>
      <c r="F194" s="14"/>
      <c r="G194" s="14"/>
      <c r="H194" s="14"/>
      <c r="I194" s="14"/>
      <c r="J194" s="19"/>
      <c r="K194" s="15">
        <f>+E194</f>
        <v>2</v>
      </c>
      <c r="L194" s="16"/>
    </row>
    <row r="195" spans="1:12" s="62" customFormat="1" ht="15.95" customHeight="1">
      <c r="A195" s="187">
        <f>+A193+0.00000001</f>
        <v>1.1602080599999989</v>
      </c>
      <c r="B195" s="238" t="s">
        <v>203</v>
      </c>
      <c r="C195" s="244"/>
      <c r="D195" s="12" t="s">
        <v>48</v>
      </c>
      <c r="E195" s="14"/>
      <c r="F195" s="14"/>
      <c r="G195" s="14"/>
      <c r="H195" s="14"/>
      <c r="I195" s="14"/>
      <c r="J195" s="18"/>
      <c r="K195" s="14">
        <f>K196</f>
        <v>1</v>
      </c>
      <c r="L195" s="16">
        <f>K195</f>
        <v>1</v>
      </c>
    </row>
    <row r="196" spans="1:12" s="62" customFormat="1" ht="15.95" customHeight="1">
      <c r="A196" s="116"/>
      <c r="B196" s="245"/>
      <c r="C196" s="246"/>
      <c r="D196" s="12" t="s">
        <v>48</v>
      </c>
      <c r="E196" s="97">
        <v>1</v>
      </c>
      <c r="F196" s="14"/>
      <c r="G196" s="14"/>
      <c r="H196" s="14"/>
      <c r="I196" s="14"/>
      <c r="J196" s="19"/>
      <c r="K196" s="15">
        <f>+E196</f>
        <v>1</v>
      </c>
      <c r="L196" s="16"/>
    </row>
    <row r="197" spans="1:12" s="62" customFormat="1" ht="15.95" customHeight="1">
      <c r="A197" s="187">
        <f>+A195+0.00000001</f>
        <v>1.1602080699999988</v>
      </c>
      <c r="B197" s="238" t="s">
        <v>204</v>
      </c>
      <c r="C197" s="239"/>
      <c r="D197" s="12" t="s">
        <v>48</v>
      </c>
      <c r="E197" s="12">
        <v>1</v>
      </c>
      <c r="F197" s="12"/>
      <c r="G197" s="14" t="s">
        <v>49</v>
      </c>
      <c r="H197" s="14" t="s">
        <v>49</v>
      </c>
      <c r="I197" s="14" t="s">
        <v>49</v>
      </c>
      <c r="J197" s="18"/>
      <c r="K197" s="15">
        <f>PRODUCT(E197:J197)</f>
        <v>1</v>
      </c>
      <c r="L197" s="15">
        <f>+K197</f>
        <v>1</v>
      </c>
    </row>
    <row r="198" spans="1:12" s="62" customFormat="1" ht="15.95" customHeight="1">
      <c r="A198" s="203"/>
      <c r="B198" s="238"/>
      <c r="C198" s="239"/>
      <c r="D198" s="12"/>
      <c r="E198" s="12"/>
      <c r="F198" s="12"/>
      <c r="G198" s="18"/>
      <c r="H198" s="18"/>
      <c r="I198" s="12"/>
      <c r="J198" s="18"/>
      <c r="K198" s="19"/>
      <c r="L198" s="37"/>
    </row>
    <row r="199" spans="1:12" s="62" customFormat="1" ht="15.95" customHeight="1">
      <c r="A199" s="187">
        <f>+A197+0.00000001</f>
        <v>1.1602080799999988</v>
      </c>
      <c r="B199" s="238" t="s">
        <v>205</v>
      </c>
      <c r="C199" s="239"/>
      <c r="D199" s="12" t="s">
        <v>48</v>
      </c>
      <c r="E199" s="12">
        <v>1</v>
      </c>
      <c r="F199" s="12"/>
      <c r="G199" s="14" t="s">
        <v>49</v>
      </c>
      <c r="H199" s="14" t="s">
        <v>49</v>
      </c>
      <c r="I199" s="14" t="s">
        <v>49</v>
      </c>
      <c r="J199" s="18"/>
      <c r="K199" s="15">
        <f>PRODUCT(E199:J199)</f>
        <v>1</v>
      </c>
      <c r="L199" s="15">
        <f>+K199</f>
        <v>1</v>
      </c>
    </row>
    <row r="200" spans="1:12" s="62" customFormat="1" ht="15.95" customHeight="1">
      <c r="A200" s="203"/>
      <c r="B200" s="238"/>
      <c r="C200" s="239"/>
      <c r="D200" s="12"/>
      <c r="E200" s="12"/>
      <c r="F200" s="12"/>
      <c r="G200" s="18"/>
      <c r="H200" s="18"/>
      <c r="I200" s="12"/>
      <c r="J200" s="18"/>
      <c r="K200" s="19"/>
      <c r="L200" s="37"/>
    </row>
    <row r="201" spans="1:12" s="62" customFormat="1" ht="15.95" customHeight="1">
      <c r="A201" s="187">
        <f>+A199+0.00000001</f>
        <v>1.1602080899999987</v>
      </c>
      <c r="B201" s="238" t="s">
        <v>206</v>
      </c>
      <c r="C201" s="239"/>
      <c r="D201" s="12" t="s">
        <v>48</v>
      </c>
      <c r="E201" s="12">
        <v>1</v>
      </c>
      <c r="F201" s="12"/>
      <c r="G201" s="14" t="s">
        <v>49</v>
      </c>
      <c r="H201" s="14" t="s">
        <v>49</v>
      </c>
      <c r="I201" s="14" t="s">
        <v>49</v>
      </c>
      <c r="J201" s="18"/>
      <c r="K201" s="15">
        <f>PRODUCT(E201:J201)</f>
        <v>1</v>
      </c>
      <c r="L201" s="15">
        <f>+K201</f>
        <v>1</v>
      </c>
    </row>
    <row r="202" spans="1:12" s="62" customFormat="1" ht="15.95" customHeight="1">
      <c r="A202" s="203"/>
      <c r="B202" s="238"/>
      <c r="C202" s="239"/>
      <c r="D202" s="12"/>
      <c r="E202" s="12"/>
      <c r="F202" s="12"/>
      <c r="G202" s="18"/>
      <c r="H202" s="18"/>
      <c r="I202" s="12"/>
      <c r="J202" s="18"/>
      <c r="K202" s="19"/>
      <c r="L202" s="37"/>
    </row>
    <row r="203" spans="1:12" s="62" customFormat="1" ht="15.95" customHeight="1">
      <c r="A203" s="187">
        <f>+A201+0.00000001</f>
        <v>1.1602080999999986</v>
      </c>
      <c r="B203" s="238" t="s">
        <v>207</v>
      </c>
      <c r="C203" s="239"/>
      <c r="D203" s="12" t="s">
        <v>48</v>
      </c>
      <c r="E203" s="12">
        <v>1</v>
      </c>
      <c r="F203" s="12"/>
      <c r="G203" s="14" t="s">
        <v>49</v>
      </c>
      <c r="H203" s="14" t="s">
        <v>49</v>
      </c>
      <c r="I203" s="14" t="s">
        <v>49</v>
      </c>
      <c r="J203" s="18"/>
      <c r="K203" s="15">
        <f>PRODUCT(E203:J203)</f>
        <v>1</v>
      </c>
      <c r="L203" s="15">
        <f>+K203</f>
        <v>1</v>
      </c>
    </row>
    <row r="204" spans="1:12" s="62" customFormat="1" ht="15.95" customHeight="1">
      <c r="A204" s="204"/>
      <c r="B204" s="238"/>
      <c r="C204" s="239"/>
      <c r="D204" s="12"/>
      <c r="E204" s="12"/>
      <c r="F204" s="12"/>
      <c r="G204" s="14"/>
      <c r="H204" s="14"/>
      <c r="I204" s="14"/>
      <c r="J204" s="18"/>
      <c r="K204" s="15"/>
      <c r="L204" s="15"/>
    </row>
    <row r="205" spans="1:12" s="62" customFormat="1" ht="15.95" customHeight="1">
      <c r="A205" s="187">
        <f>+A203+0.00000001</f>
        <v>1.1602081099999986</v>
      </c>
      <c r="B205" s="238" t="s">
        <v>208</v>
      </c>
      <c r="C205" s="239"/>
      <c r="D205" s="12" t="s">
        <v>48</v>
      </c>
      <c r="E205" s="12">
        <v>1</v>
      </c>
      <c r="F205" s="12"/>
      <c r="G205" s="14" t="s">
        <v>49</v>
      </c>
      <c r="H205" s="14" t="s">
        <v>49</v>
      </c>
      <c r="I205" s="14" t="s">
        <v>49</v>
      </c>
      <c r="J205" s="18"/>
      <c r="K205" s="15">
        <f>PRODUCT(E205:J205)</f>
        <v>1</v>
      </c>
      <c r="L205" s="15">
        <f>+K205</f>
        <v>1</v>
      </c>
    </row>
    <row r="206" spans="1:12" s="62" customFormat="1" ht="15.95" customHeight="1">
      <c r="A206" s="204"/>
      <c r="B206" s="238"/>
      <c r="C206" s="239"/>
      <c r="D206" s="12"/>
      <c r="E206" s="12"/>
      <c r="F206" s="12"/>
      <c r="G206" s="14"/>
      <c r="H206" s="14"/>
      <c r="I206" s="14"/>
      <c r="J206" s="18"/>
      <c r="K206" s="15"/>
      <c r="L206" s="15"/>
    </row>
    <row r="207" spans="1:12" s="62" customFormat="1" ht="15.95" customHeight="1">
      <c r="A207" s="187">
        <f>+A205+0.00000001</f>
        <v>1.1602081199999985</v>
      </c>
      <c r="B207" s="238" t="s">
        <v>209</v>
      </c>
      <c r="C207" s="239"/>
      <c r="D207" s="12" t="s">
        <v>48</v>
      </c>
      <c r="E207" s="12">
        <v>2</v>
      </c>
      <c r="F207" s="12"/>
      <c r="G207" s="14" t="s">
        <v>49</v>
      </c>
      <c r="H207" s="14" t="s">
        <v>49</v>
      </c>
      <c r="I207" s="14" t="s">
        <v>49</v>
      </c>
      <c r="J207" s="18"/>
      <c r="K207" s="15">
        <f>PRODUCT(E207:J207)</f>
        <v>2</v>
      </c>
      <c r="L207" s="15">
        <f>+K207</f>
        <v>2</v>
      </c>
    </row>
    <row r="208" spans="1:12" s="62" customFormat="1" ht="15.95" customHeight="1">
      <c r="A208" s="205"/>
      <c r="B208" s="240"/>
      <c r="C208" s="241"/>
      <c r="D208" s="84"/>
      <c r="E208" s="84"/>
      <c r="F208" s="84"/>
      <c r="G208" s="86"/>
      <c r="H208" s="86"/>
      <c r="I208" s="86"/>
      <c r="J208" s="100"/>
      <c r="K208" s="95"/>
      <c r="L208" s="95"/>
    </row>
    <row r="209" spans="1:12" s="62" customFormat="1" ht="15.95" customHeight="1">
      <c r="A209" s="188">
        <f>+A181+0.000001</f>
        <v>1.1602089999999992</v>
      </c>
      <c r="B209" s="235" t="s">
        <v>210</v>
      </c>
      <c r="C209" s="237"/>
      <c r="D209" s="6"/>
      <c r="E209" s="7"/>
      <c r="F209" s="6"/>
      <c r="G209" s="88"/>
      <c r="H209" s="88"/>
      <c r="I209" s="88"/>
      <c r="J209" s="8"/>
      <c r="K209" s="9"/>
      <c r="L209" s="89"/>
    </row>
    <row r="210" spans="1:12" s="62" customFormat="1" ht="15.95" customHeight="1">
      <c r="A210" s="187">
        <f>+A209+0.00000001</f>
        <v>1.1602090099999991</v>
      </c>
      <c r="B210" s="238" t="s">
        <v>211</v>
      </c>
      <c r="C210" s="244"/>
      <c r="D210" s="12" t="s">
        <v>55</v>
      </c>
      <c r="E210" s="14"/>
      <c r="F210" s="14"/>
      <c r="G210" s="14"/>
      <c r="H210" s="14"/>
      <c r="I210" s="14"/>
      <c r="J210" s="18"/>
      <c r="K210" s="14">
        <f>K211</f>
        <v>388.66999999999996</v>
      </c>
      <c r="L210" s="16">
        <f>K210</f>
        <v>388.66999999999996</v>
      </c>
    </row>
    <row r="211" spans="1:12" s="62" customFormat="1" ht="15.95" customHeight="1">
      <c r="A211" s="116"/>
      <c r="B211" s="245"/>
      <c r="C211" s="246"/>
      <c r="D211" s="12" t="s">
        <v>55</v>
      </c>
      <c r="E211" s="14">
        <v>1</v>
      </c>
      <c r="F211" s="14"/>
      <c r="G211" s="14"/>
      <c r="H211" s="14"/>
      <c r="I211" s="14"/>
      <c r="J211" s="19">
        <f>K135+K152+K158+K161</f>
        <v>388.66999999999996</v>
      </c>
      <c r="K211" s="111">
        <f>J211*E211</f>
        <v>388.66999999999996</v>
      </c>
      <c r="L211" s="16"/>
    </row>
    <row r="212" spans="1:12" s="62" customFormat="1" ht="15.95" customHeight="1">
      <c r="A212" s="187">
        <f>+A210+0.00000001</f>
        <v>1.160209019999999</v>
      </c>
      <c r="B212" s="238" t="s">
        <v>212</v>
      </c>
      <c r="C212" s="244"/>
      <c r="D212" s="12" t="s">
        <v>55</v>
      </c>
      <c r="E212" s="14"/>
      <c r="F212" s="14"/>
      <c r="G212" s="14"/>
      <c r="H212" s="14"/>
      <c r="I212" s="14"/>
      <c r="J212" s="18"/>
      <c r="K212" s="14">
        <f>K213</f>
        <v>88.725000000000009</v>
      </c>
      <c r="L212" s="16">
        <f>K212</f>
        <v>88.725000000000009</v>
      </c>
    </row>
    <row r="213" spans="1:12" s="62" customFormat="1" ht="15.95" customHeight="1">
      <c r="A213" s="116"/>
      <c r="B213" s="245"/>
      <c r="C213" s="246"/>
      <c r="D213" s="12" t="s">
        <v>55</v>
      </c>
      <c r="E213" s="14">
        <v>1</v>
      </c>
      <c r="F213" s="14"/>
      <c r="G213" s="14"/>
      <c r="H213" s="14"/>
      <c r="I213" s="14"/>
      <c r="J213" s="19">
        <f>+K164</f>
        <v>88.725000000000009</v>
      </c>
      <c r="K213" s="115">
        <f>+J213</f>
        <v>88.725000000000009</v>
      </c>
      <c r="L213" s="16"/>
    </row>
    <row r="214" spans="1:12" s="62" customFormat="1" ht="15.95" customHeight="1">
      <c r="A214" s="187">
        <f>+A212+0.00000001</f>
        <v>1.160209029999999</v>
      </c>
      <c r="B214" s="238" t="s">
        <v>213</v>
      </c>
      <c r="C214" s="244"/>
      <c r="D214" s="12" t="s">
        <v>55</v>
      </c>
      <c r="E214" s="14"/>
      <c r="F214" s="14"/>
      <c r="G214" s="14"/>
      <c r="H214" s="14"/>
      <c r="I214" s="14"/>
      <c r="J214" s="18"/>
      <c r="K214" s="14">
        <f>K215</f>
        <v>4.83</v>
      </c>
      <c r="L214" s="16">
        <f>K214</f>
        <v>4.83</v>
      </c>
    </row>
    <row r="215" spans="1:12" s="62" customFormat="1" ht="15.95" customHeight="1">
      <c r="A215" s="116"/>
      <c r="B215" s="245"/>
      <c r="C215" s="246"/>
      <c r="D215" s="12" t="s">
        <v>55</v>
      </c>
      <c r="E215" s="14">
        <v>1</v>
      </c>
      <c r="F215" s="97">
        <v>1</v>
      </c>
      <c r="G215" s="14"/>
      <c r="H215" s="14"/>
      <c r="I215" s="14"/>
      <c r="J215" s="19">
        <f>+K191</f>
        <v>4.83</v>
      </c>
      <c r="K215" s="15">
        <f>J215*F215*E215</f>
        <v>4.83</v>
      </c>
      <c r="L215" s="16"/>
    </row>
    <row r="216" spans="1:12" s="62" customFormat="1" ht="15.95" customHeight="1">
      <c r="A216" s="187">
        <f>+A214+0.00000001</f>
        <v>1.1602090399999989</v>
      </c>
      <c r="B216" s="238" t="s">
        <v>214</v>
      </c>
      <c r="C216" s="244"/>
      <c r="D216" s="12" t="s">
        <v>55</v>
      </c>
      <c r="E216" s="14"/>
      <c r="F216" s="97"/>
      <c r="G216" s="14"/>
      <c r="H216" s="14"/>
      <c r="I216" s="14"/>
      <c r="J216" s="18"/>
      <c r="K216" s="14">
        <f>K217</f>
        <v>4.2</v>
      </c>
      <c r="L216" s="16">
        <f>K216</f>
        <v>4.2</v>
      </c>
    </row>
    <row r="217" spans="1:12" s="62" customFormat="1" ht="15.95" customHeight="1">
      <c r="A217" s="116"/>
      <c r="B217" s="245"/>
      <c r="C217" s="246"/>
      <c r="D217" s="12" t="s">
        <v>55</v>
      </c>
      <c r="E217" s="14">
        <v>1</v>
      </c>
      <c r="F217" s="97">
        <v>1</v>
      </c>
      <c r="G217" s="14"/>
      <c r="H217" s="14"/>
      <c r="I217" s="14"/>
      <c r="J217" s="19">
        <f>+K182</f>
        <v>4.2</v>
      </c>
      <c r="K217" s="15">
        <f>+J217</f>
        <v>4.2</v>
      </c>
      <c r="L217" s="16"/>
    </row>
    <row r="218" spans="1:12" s="62" customFormat="1" ht="15.95" customHeight="1">
      <c r="A218" s="187">
        <f>+A216+0.00000001</f>
        <v>1.1602090499999989</v>
      </c>
      <c r="B218" s="238" t="s">
        <v>215</v>
      </c>
      <c r="C218" s="246"/>
      <c r="D218" s="12" t="s">
        <v>55</v>
      </c>
      <c r="E218" s="14"/>
      <c r="F218" s="14"/>
      <c r="G218" s="14"/>
      <c r="H218" s="14"/>
      <c r="I218" s="14"/>
      <c r="J218" s="19"/>
      <c r="K218" s="14">
        <f>+SUM(K220:K220)</f>
        <v>5.4749999999999996</v>
      </c>
      <c r="L218" s="16">
        <f>+K218</f>
        <v>5.4749999999999996</v>
      </c>
    </row>
    <row r="219" spans="1:12" s="62" customFormat="1" ht="15.95" customHeight="1">
      <c r="A219" s="116"/>
      <c r="B219" s="245"/>
      <c r="C219" s="247" t="s">
        <v>216</v>
      </c>
      <c r="D219" s="12" t="s">
        <v>55</v>
      </c>
      <c r="E219" s="14">
        <v>1</v>
      </c>
      <c r="F219" s="14"/>
      <c r="G219" s="14">
        <v>0.3</v>
      </c>
      <c r="H219" s="14"/>
      <c r="I219" s="14">
        <f>+K177</f>
        <v>19.100000000000001</v>
      </c>
      <c r="J219" s="19"/>
      <c r="K219" s="15">
        <f>+PRODUCT(E219:J219)</f>
        <v>5.73</v>
      </c>
      <c r="L219" s="16"/>
    </row>
    <row r="220" spans="1:12" s="62" customFormat="1" ht="15.95" customHeight="1">
      <c r="A220" s="120"/>
      <c r="B220" s="248"/>
      <c r="C220" s="249" t="s">
        <v>217</v>
      </c>
      <c r="D220" s="84" t="s">
        <v>55</v>
      </c>
      <c r="E220" s="86">
        <v>1</v>
      </c>
      <c r="F220" s="86"/>
      <c r="G220" s="86">
        <v>0.3</v>
      </c>
      <c r="H220" s="86"/>
      <c r="I220" s="86">
        <f>+K178</f>
        <v>18.25</v>
      </c>
      <c r="J220" s="114"/>
      <c r="K220" s="95">
        <f>+PRODUCT(E220:J220)</f>
        <v>5.4749999999999996</v>
      </c>
      <c r="L220" s="87"/>
    </row>
    <row r="221" spans="1:12" s="62" customFormat="1" ht="15.95" customHeight="1">
      <c r="A221" s="188">
        <f>+A209+0.000001</f>
        <v>1.1602099999999991</v>
      </c>
      <c r="B221" s="235" t="s">
        <v>218</v>
      </c>
      <c r="C221" s="250"/>
      <c r="D221" s="6"/>
      <c r="E221" s="88"/>
      <c r="F221" s="88"/>
      <c r="G221" s="88"/>
      <c r="H221" s="88"/>
      <c r="I221" s="88"/>
      <c r="J221" s="20"/>
      <c r="K221" s="198"/>
      <c r="L221" s="89"/>
    </row>
    <row r="222" spans="1:12" s="62" customFormat="1" ht="15.95" customHeight="1">
      <c r="A222" s="187">
        <f>+A221+0.00000001</f>
        <v>1.160210009999999</v>
      </c>
      <c r="B222" s="238" t="s">
        <v>219</v>
      </c>
      <c r="C222" s="242"/>
      <c r="D222" s="12" t="s">
        <v>55</v>
      </c>
      <c r="E222" s="14"/>
      <c r="F222" s="99"/>
      <c r="G222" s="14"/>
      <c r="H222" s="14"/>
      <c r="I222" s="14"/>
      <c r="J222" s="18"/>
      <c r="K222" s="14">
        <f>+K223</f>
        <v>43.65</v>
      </c>
      <c r="L222" s="16">
        <f>K222</f>
        <v>43.65</v>
      </c>
    </row>
    <row r="223" spans="1:12" s="62" customFormat="1" ht="15.95" customHeight="1">
      <c r="A223" s="116"/>
      <c r="B223" s="238"/>
      <c r="C223" s="239" t="s">
        <v>220</v>
      </c>
      <c r="D223" s="12" t="s">
        <v>55</v>
      </c>
      <c r="E223" s="97">
        <v>1</v>
      </c>
      <c r="F223" s="14"/>
      <c r="G223" s="14"/>
      <c r="H223" s="14"/>
      <c r="I223" s="14"/>
      <c r="J223" s="18">
        <f>11.2+11.17+10.5+10.78</f>
        <v>43.65</v>
      </c>
      <c r="K223" s="15">
        <f>PRODUCT(E223:J223)</f>
        <v>43.65</v>
      </c>
      <c r="L223" s="16"/>
    </row>
    <row r="224" spans="1:12" s="62" customFormat="1" ht="15.95" customHeight="1">
      <c r="A224" s="187">
        <f>+A222+0.00000001</f>
        <v>1.160210019999999</v>
      </c>
      <c r="B224" s="238" t="s">
        <v>221</v>
      </c>
      <c r="C224" s="242"/>
      <c r="D224" s="12" t="s">
        <v>55</v>
      </c>
      <c r="E224" s="14"/>
      <c r="F224" s="99"/>
      <c r="G224" s="14"/>
      <c r="H224" s="14"/>
      <c r="I224" s="14"/>
      <c r="J224" s="18"/>
      <c r="K224" s="14">
        <f>+SUM(K225:K227)</f>
        <v>85.22</v>
      </c>
      <c r="L224" s="16">
        <f>K224</f>
        <v>85.22</v>
      </c>
    </row>
    <row r="225" spans="1:16" s="62" customFormat="1" ht="15.95" customHeight="1">
      <c r="A225" s="116"/>
      <c r="B225" s="238"/>
      <c r="C225" s="239" t="s">
        <v>222</v>
      </c>
      <c r="D225" s="12" t="s">
        <v>55</v>
      </c>
      <c r="E225" s="97">
        <v>1</v>
      </c>
      <c r="F225" s="14"/>
      <c r="G225" s="14"/>
      <c r="H225" s="14"/>
      <c r="I225" s="14"/>
      <c r="J225" s="18">
        <f>+J223</f>
        <v>43.65</v>
      </c>
      <c r="K225" s="15">
        <f>PRODUCT(E225:J225)</f>
        <v>43.65</v>
      </c>
      <c r="L225" s="16"/>
    </row>
    <row r="226" spans="1:16" s="62" customFormat="1" ht="15.95" customHeight="1">
      <c r="A226" s="116"/>
      <c r="B226" s="238"/>
      <c r="C226" s="239" t="s">
        <v>223</v>
      </c>
      <c r="D226" s="12" t="s">
        <v>55</v>
      </c>
      <c r="E226" s="97">
        <v>1</v>
      </c>
      <c r="F226" s="14"/>
      <c r="G226" s="14"/>
      <c r="H226" s="14"/>
      <c r="I226" s="14"/>
      <c r="J226" s="18">
        <v>44.93</v>
      </c>
      <c r="K226" s="15">
        <f>PRODUCT(E226:J226)</f>
        <v>44.93</v>
      </c>
      <c r="L226" s="16"/>
    </row>
    <row r="227" spans="1:16" s="62" customFormat="1" ht="15.95" customHeight="1">
      <c r="A227" s="120"/>
      <c r="B227" s="240"/>
      <c r="C227" s="241" t="s">
        <v>224</v>
      </c>
      <c r="D227" s="84" t="s">
        <v>55</v>
      </c>
      <c r="E227" s="106">
        <v>-1</v>
      </c>
      <c r="F227" s="86"/>
      <c r="G227" s="86"/>
      <c r="H227" s="86"/>
      <c r="I227" s="86"/>
      <c r="J227" s="100">
        <v>3.36</v>
      </c>
      <c r="K227" s="95">
        <f>PRODUCT(E227:J227)</f>
        <v>-3.36</v>
      </c>
      <c r="L227" s="87"/>
    </row>
    <row r="228" spans="1:16" s="62" customFormat="1" ht="15.95" customHeight="1">
      <c r="A228" s="188">
        <f>+A221+0.000001</f>
        <v>1.160210999999999</v>
      </c>
      <c r="B228" s="235" t="s">
        <v>97</v>
      </c>
      <c r="C228" s="237"/>
      <c r="D228" s="6"/>
      <c r="E228" s="6"/>
      <c r="F228" s="6"/>
      <c r="G228" s="6"/>
      <c r="H228" s="8"/>
      <c r="I228" s="6"/>
      <c r="J228" s="8"/>
      <c r="K228" s="20"/>
      <c r="L228" s="23"/>
    </row>
    <row r="229" spans="1:16" s="62" customFormat="1" ht="15.95" customHeight="1">
      <c r="A229" s="187">
        <f>+A228+0.00000001</f>
        <v>1.1602110099999989</v>
      </c>
      <c r="B229" s="238" t="s">
        <v>225</v>
      </c>
      <c r="C229" s="242"/>
      <c r="D229" s="12" t="s">
        <v>48</v>
      </c>
      <c r="E229" s="14">
        <v>2</v>
      </c>
      <c r="F229" s="14"/>
      <c r="G229" s="14"/>
      <c r="H229" s="14"/>
      <c r="I229" s="14"/>
      <c r="J229" s="18"/>
      <c r="K229" s="15">
        <f>PRODUCT(E229:J229)</f>
        <v>2</v>
      </c>
      <c r="L229" s="16">
        <f>K229</f>
        <v>2</v>
      </c>
    </row>
    <row r="230" spans="1:16" s="62" customFormat="1" ht="15.95" customHeight="1">
      <c r="A230" s="187">
        <f>+A229+0.00000001</f>
        <v>1.1602110199999989</v>
      </c>
      <c r="B230" s="238" t="s">
        <v>226</v>
      </c>
      <c r="C230" s="242"/>
      <c r="D230" s="12" t="s">
        <v>48</v>
      </c>
      <c r="E230" s="14">
        <v>4</v>
      </c>
      <c r="F230" s="14"/>
      <c r="G230" s="14"/>
      <c r="H230" s="14"/>
      <c r="I230" s="14"/>
      <c r="J230" s="18"/>
      <c r="K230" s="15">
        <f>PRODUCT(E230:J230)</f>
        <v>4</v>
      </c>
      <c r="L230" s="16">
        <f>K230</f>
        <v>4</v>
      </c>
    </row>
    <row r="231" spans="1:16" s="62" customFormat="1" ht="15.95" customHeight="1">
      <c r="A231" s="187">
        <f>+A230+0.00000001</f>
        <v>1.1602110299999988</v>
      </c>
      <c r="B231" s="238" t="s">
        <v>227</v>
      </c>
      <c r="C231" s="242"/>
      <c r="D231" s="12" t="s">
        <v>48</v>
      </c>
      <c r="E231" s="14">
        <v>5</v>
      </c>
      <c r="F231" s="14">
        <v>3</v>
      </c>
      <c r="G231" s="14"/>
      <c r="H231" s="14"/>
      <c r="I231" s="14"/>
      <c r="J231" s="18"/>
      <c r="K231" s="15">
        <f>PRODUCT(E231:J231)</f>
        <v>15</v>
      </c>
      <c r="L231" s="16">
        <f>+K231</f>
        <v>15</v>
      </c>
      <c r="N231" s="4"/>
      <c r="O231" s="4"/>
      <c r="P231" s="4"/>
    </row>
    <row r="232" spans="1:16" s="62" customFormat="1" ht="15.95" customHeight="1">
      <c r="A232" s="187">
        <f>+A231+0.00000001</f>
        <v>1.1602110399999988</v>
      </c>
      <c r="B232" s="238" t="s">
        <v>101</v>
      </c>
      <c r="C232" s="242"/>
      <c r="D232" s="12" t="s">
        <v>48</v>
      </c>
      <c r="E232" s="14">
        <f>L39+L45+L64+L72+L94+L102+L115</f>
        <v>103.62777500000001</v>
      </c>
      <c r="F232" s="14">
        <v>3</v>
      </c>
      <c r="G232" s="14"/>
      <c r="H232" s="14"/>
      <c r="I232" s="14"/>
      <c r="J232" s="18"/>
      <c r="K232" s="15">
        <f>+E232/F232</f>
        <v>34.542591666666674</v>
      </c>
      <c r="L232" s="16">
        <f>ROUND(K232,0)</f>
        <v>35</v>
      </c>
    </row>
    <row r="233" spans="1:16" s="62" customFormat="1" ht="15.95" customHeight="1">
      <c r="A233" s="187">
        <f>+A232+0.00000001</f>
        <v>1.1602110499999987</v>
      </c>
      <c r="B233" s="238" t="s">
        <v>228</v>
      </c>
      <c r="C233" s="242"/>
      <c r="D233" s="12" t="s">
        <v>55</v>
      </c>
      <c r="E233" s="14"/>
      <c r="F233" s="14"/>
      <c r="G233" s="14"/>
      <c r="H233" s="14"/>
      <c r="I233" s="14"/>
      <c r="J233" s="18"/>
      <c r="K233" s="15"/>
      <c r="L233" s="16">
        <f>+SUM(K233:K235)</f>
        <v>15.1</v>
      </c>
    </row>
    <row r="234" spans="1:16" s="62" customFormat="1" ht="15.95" customHeight="1">
      <c r="A234" s="116"/>
      <c r="B234" s="238" t="s">
        <v>229</v>
      </c>
      <c r="C234" s="242" t="s">
        <v>230</v>
      </c>
      <c r="D234" s="12" t="s">
        <v>55</v>
      </c>
      <c r="E234" s="14">
        <v>1</v>
      </c>
      <c r="F234" s="14"/>
      <c r="G234" s="14" t="s">
        <v>49</v>
      </c>
      <c r="H234" s="14" t="s">
        <v>49</v>
      </c>
      <c r="I234" s="14" t="s">
        <v>49</v>
      </c>
      <c r="J234" s="18">
        <v>2.9</v>
      </c>
      <c r="K234" s="15">
        <f>+PRODUCT(E234:J234)</f>
        <v>2.9</v>
      </c>
      <c r="L234" s="16"/>
      <c r="N234" s="4"/>
      <c r="O234" s="4"/>
      <c r="P234" s="4"/>
    </row>
    <row r="235" spans="1:16" s="62" customFormat="1" ht="15.95" customHeight="1">
      <c r="A235" s="120"/>
      <c r="B235" s="240" t="s">
        <v>229</v>
      </c>
      <c r="C235" s="251" t="s">
        <v>230</v>
      </c>
      <c r="D235" s="84" t="s">
        <v>55</v>
      </c>
      <c r="E235" s="86">
        <v>1</v>
      </c>
      <c r="F235" s="86"/>
      <c r="G235" s="86" t="s">
        <v>49</v>
      </c>
      <c r="H235" s="86" t="s">
        <v>49</v>
      </c>
      <c r="I235" s="86" t="s">
        <v>49</v>
      </c>
      <c r="J235" s="100">
        <v>12.2</v>
      </c>
      <c r="K235" s="95">
        <f>+PRODUCT(E235:J235)</f>
        <v>12.2</v>
      </c>
      <c r="L235" s="87"/>
      <c r="N235" s="4"/>
      <c r="O235" s="4"/>
      <c r="P235" s="4"/>
    </row>
    <row r="236" spans="1:16" ht="15.95" customHeight="1">
      <c r="A236" s="188">
        <f>+A228+0.000001</f>
        <v>1.1602119999999989</v>
      </c>
      <c r="B236" s="252" t="s">
        <v>231</v>
      </c>
      <c r="C236" s="253"/>
      <c r="D236" s="189"/>
      <c r="E236" s="190"/>
      <c r="F236" s="196"/>
      <c r="G236" s="189"/>
      <c r="H236" s="189"/>
      <c r="I236" s="189"/>
      <c r="J236" s="189"/>
      <c r="K236" s="191"/>
      <c r="L236" s="197"/>
    </row>
    <row r="237" spans="1:16" s="62" customFormat="1" ht="15.95" customHeight="1">
      <c r="A237" s="187">
        <f>+A236+0.00000001</f>
        <v>1.1602120099999989</v>
      </c>
      <c r="B237" s="238" t="s">
        <v>232</v>
      </c>
      <c r="C237" s="242"/>
      <c r="D237" s="12" t="s">
        <v>48</v>
      </c>
      <c r="E237" s="14">
        <v>5</v>
      </c>
      <c r="F237" s="14"/>
      <c r="G237" s="14" t="s">
        <v>49</v>
      </c>
      <c r="H237" s="14" t="s">
        <v>49</v>
      </c>
      <c r="I237" s="14" t="s">
        <v>49</v>
      </c>
      <c r="J237" s="18"/>
      <c r="K237" s="15">
        <f t="shared" ref="K237:K256" si="13">+PRODUCT(E237:J237)</f>
        <v>5</v>
      </c>
      <c r="L237" s="16">
        <f>+K237</f>
        <v>5</v>
      </c>
      <c r="N237" s="4"/>
      <c r="O237" s="4"/>
      <c r="P237" s="4"/>
    </row>
    <row r="238" spans="1:16" s="62" customFormat="1" ht="15.95" customHeight="1">
      <c r="A238" s="187">
        <f t="shared" ref="A238:A264" si="14">+A237+0.00000001</f>
        <v>1.1602120199999988</v>
      </c>
      <c r="B238" s="238" t="s">
        <v>233</v>
      </c>
      <c r="C238" s="239"/>
      <c r="D238" s="12" t="s">
        <v>48</v>
      </c>
      <c r="E238" s="14">
        <v>5</v>
      </c>
      <c r="F238" s="14"/>
      <c r="G238" s="14" t="s">
        <v>49</v>
      </c>
      <c r="H238" s="14" t="s">
        <v>49</v>
      </c>
      <c r="I238" s="14" t="s">
        <v>49</v>
      </c>
      <c r="J238" s="18"/>
      <c r="K238" s="15">
        <f t="shared" si="13"/>
        <v>5</v>
      </c>
      <c r="L238" s="16">
        <f>+K238</f>
        <v>5</v>
      </c>
      <c r="N238" s="4"/>
      <c r="O238" s="4"/>
      <c r="P238" s="4"/>
    </row>
    <row r="239" spans="1:16" ht="15.95" customHeight="1">
      <c r="A239" s="187">
        <f t="shared" si="14"/>
        <v>1.1602120299999987</v>
      </c>
      <c r="B239" s="238" t="s">
        <v>234</v>
      </c>
      <c r="C239" s="242"/>
      <c r="D239" s="12" t="s">
        <v>235</v>
      </c>
      <c r="E239" s="14">
        <v>1</v>
      </c>
      <c r="F239" s="99"/>
      <c r="G239" s="14" t="s">
        <v>49</v>
      </c>
      <c r="H239" s="14" t="s">
        <v>49</v>
      </c>
      <c r="I239" s="14" t="s">
        <v>49</v>
      </c>
      <c r="J239" s="18"/>
      <c r="K239" s="15">
        <f t="shared" si="13"/>
        <v>1</v>
      </c>
      <c r="L239" s="16">
        <f>+K239</f>
        <v>1</v>
      </c>
    </row>
    <row r="240" spans="1:16" ht="15.95" customHeight="1">
      <c r="A240" s="187">
        <f t="shared" si="14"/>
        <v>1.1602120399999987</v>
      </c>
      <c r="B240" s="238" t="s">
        <v>236</v>
      </c>
      <c r="C240" s="242"/>
      <c r="D240" s="12" t="s">
        <v>237</v>
      </c>
      <c r="E240" s="14">
        <v>1</v>
      </c>
      <c r="F240" s="99"/>
      <c r="G240" s="14" t="s">
        <v>49</v>
      </c>
      <c r="H240" s="14">
        <f>3.5+8+4</f>
        <v>15.5</v>
      </c>
      <c r="I240" s="14" t="s">
        <v>49</v>
      </c>
      <c r="J240" s="18"/>
      <c r="K240" s="15">
        <f t="shared" si="13"/>
        <v>15.5</v>
      </c>
      <c r="L240" s="16">
        <f>+K240</f>
        <v>15.5</v>
      </c>
    </row>
    <row r="241" spans="1:12" ht="15.95" customHeight="1">
      <c r="A241" s="187">
        <f t="shared" si="14"/>
        <v>1.1602120499999986</v>
      </c>
      <c r="B241" s="238" t="s">
        <v>238</v>
      </c>
      <c r="C241" s="242"/>
      <c r="D241" s="12" t="s">
        <v>237</v>
      </c>
      <c r="E241" s="14">
        <v>1</v>
      </c>
      <c r="F241" s="99"/>
      <c r="G241" s="14" t="s">
        <v>49</v>
      </c>
      <c r="H241" s="14">
        <f>10.5+3.5+3.58*3</f>
        <v>24.740000000000002</v>
      </c>
      <c r="I241" s="14" t="s">
        <v>49</v>
      </c>
      <c r="J241" s="18"/>
      <c r="K241" s="15">
        <f t="shared" si="13"/>
        <v>24.740000000000002</v>
      </c>
      <c r="L241" s="16">
        <f>+K241</f>
        <v>24.740000000000002</v>
      </c>
    </row>
    <row r="242" spans="1:12" ht="15.95" customHeight="1">
      <c r="A242" s="187">
        <f t="shared" si="14"/>
        <v>1.1602120599999985</v>
      </c>
      <c r="B242" s="238" t="s">
        <v>239</v>
      </c>
      <c r="C242" s="242"/>
      <c r="D242" s="12" t="s">
        <v>237</v>
      </c>
      <c r="E242" s="14">
        <v>1</v>
      </c>
      <c r="F242" s="99"/>
      <c r="G242" s="14" t="s">
        <v>49</v>
      </c>
      <c r="H242" s="14">
        <v>12</v>
      </c>
      <c r="I242" s="14" t="s">
        <v>49</v>
      </c>
      <c r="J242" s="18"/>
      <c r="K242" s="15">
        <f t="shared" si="13"/>
        <v>12</v>
      </c>
      <c r="L242" s="16">
        <f t="shared" ref="L242:L256" si="15">+K242</f>
        <v>12</v>
      </c>
    </row>
    <row r="243" spans="1:12" ht="15.95" customHeight="1">
      <c r="A243" s="187">
        <f t="shared" si="14"/>
        <v>1.1602120699999985</v>
      </c>
      <c r="B243" s="238" t="s">
        <v>240</v>
      </c>
      <c r="C243" s="242"/>
      <c r="D243" s="12" t="s">
        <v>241</v>
      </c>
      <c r="E243" s="14">
        <v>1</v>
      </c>
      <c r="F243" s="99"/>
      <c r="G243" s="14" t="s">
        <v>49</v>
      </c>
      <c r="H243" s="14" t="s">
        <v>49</v>
      </c>
      <c r="I243" s="14" t="s">
        <v>49</v>
      </c>
      <c r="J243" s="18"/>
      <c r="K243" s="15">
        <f t="shared" si="13"/>
        <v>1</v>
      </c>
      <c r="L243" s="16">
        <f t="shared" si="15"/>
        <v>1</v>
      </c>
    </row>
    <row r="244" spans="1:12" ht="15.95" customHeight="1">
      <c r="A244" s="187">
        <f t="shared" si="14"/>
        <v>1.1602120799999984</v>
      </c>
      <c r="B244" s="238" t="s">
        <v>242</v>
      </c>
      <c r="C244" s="242"/>
      <c r="D244" s="12" t="s">
        <v>241</v>
      </c>
      <c r="E244" s="14">
        <v>6</v>
      </c>
      <c r="F244" s="99"/>
      <c r="G244" s="14" t="s">
        <v>49</v>
      </c>
      <c r="H244" s="14" t="s">
        <v>49</v>
      </c>
      <c r="I244" s="14" t="s">
        <v>49</v>
      </c>
      <c r="J244" s="18"/>
      <c r="K244" s="15">
        <f t="shared" si="13"/>
        <v>6</v>
      </c>
      <c r="L244" s="16">
        <f t="shared" si="15"/>
        <v>6</v>
      </c>
    </row>
    <row r="245" spans="1:12" ht="15.95" customHeight="1">
      <c r="A245" s="187">
        <f t="shared" si="14"/>
        <v>1.1602120899999984</v>
      </c>
      <c r="B245" s="238" t="s">
        <v>243</v>
      </c>
      <c r="C245" s="242"/>
      <c r="D245" s="12" t="s">
        <v>241</v>
      </c>
      <c r="E245" s="14">
        <v>3</v>
      </c>
      <c r="F245" s="99"/>
      <c r="G245" s="14" t="s">
        <v>49</v>
      </c>
      <c r="H245" s="14" t="s">
        <v>49</v>
      </c>
      <c r="I245" s="14" t="s">
        <v>49</v>
      </c>
      <c r="J245" s="18"/>
      <c r="K245" s="15">
        <f t="shared" si="13"/>
        <v>3</v>
      </c>
      <c r="L245" s="16">
        <f>+K245</f>
        <v>3</v>
      </c>
    </row>
    <row r="246" spans="1:12" ht="15.95" customHeight="1">
      <c r="A246" s="187">
        <f t="shared" si="14"/>
        <v>1.1602120999999983</v>
      </c>
      <c r="B246" s="238" t="s">
        <v>244</v>
      </c>
      <c r="C246" s="242"/>
      <c r="D246" s="12" t="s">
        <v>241</v>
      </c>
      <c r="E246" s="14">
        <v>2</v>
      </c>
      <c r="F246" s="99"/>
      <c r="G246" s="14" t="s">
        <v>49</v>
      </c>
      <c r="H246" s="14" t="s">
        <v>49</v>
      </c>
      <c r="I246" s="14" t="s">
        <v>49</v>
      </c>
      <c r="J246" s="18"/>
      <c r="K246" s="15">
        <f t="shared" si="13"/>
        <v>2</v>
      </c>
      <c r="L246" s="16">
        <f t="shared" si="15"/>
        <v>2</v>
      </c>
    </row>
    <row r="247" spans="1:12" ht="15.95" customHeight="1">
      <c r="A247" s="187">
        <f t="shared" si="14"/>
        <v>1.1602121099999982</v>
      </c>
      <c r="B247" s="238" t="s">
        <v>245</v>
      </c>
      <c r="C247" s="242"/>
      <c r="D247" s="12" t="s">
        <v>235</v>
      </c>
      <c r="E247" s="14">
        <v>3</v>
      </c>
      <c r="F247" s="99"/>
      <c r="G247" s="14" t="s">
        <v>49</v>
      </c>
      <c r="H247" s="14" t="s">
        <v>49</v>
      </c>
      <c r="I247" s="14" t="s">
        <v>49</v>
      </c>
      <c r="J247" s="18"/>
      <c r="K247" s="15">
        <f t="shared" si="13"/>
        <v>3</v>
      </c>
      <c r="L247" s="16">
        <f t="shared" si="15"/>
        <v>3</v>
      </c>
    </row>
    <row r="248" spans="1:12" ht="15.95" customHeight="1">
      <c r="A248" s="187">
        <f t="shared" si="14"/>
        <v>1.1602121199999982</v>
      </c>
      <c r="B248" s="238" t="s">
        <v>246</v>
      </c>
      <c r="C248" s="242"/>
      <c r="D248" s="12" t="s">
        <v>235</v>
      </c>
      <c r="E248" s="14">
        <v>1</v>
      </c>
      <c r="F248" s="99"/>
      <c r="G248" s="14" t="s">
        <v>49</v>
      </c>
      <c r="H248" s="14" t="s">
        <v>49</v>
      </c>
      <c r="I248" s="14" t="s">
        <v>49</v>
      </c>
      <c r="J248" s="18"/>
      <c r="K248" s="15">
        <f>+PRODUCT(E248:J248)</f>
        <v>1</v>
      </c>
      <c r="L248" s="16">
        <f>+K248</f>
        <v>1</v>
      </c>
    </row>
    <row r="249" spans="1:12" ht="15.95" customHeight="1">
      <c r="A249" s="187">
        <f t="shared" si="14"/>
        <v>1.1602121299999981</v>
      </c>
      <c r="B249" s="238" t="s">
        <v>247</v>
      </c>
      <c r="C249" s="242"/>
      <c r="D249" s="12" t="s">
        <v>235</v>
      </c>
      <c r="E249" s="14">
        <v>1</v>
      </c>
      <c r="F249" s="99"/>
      <c r="G249" s="14" t="s">
        <v>49</v>
      </c>
      <c r="H249" s="14" t="s">
        <v>49</v>
      </c>
      <c r="I249" s="14" t="s">
        <v>49</v>
      </c>
      <c r="J249" s="18"/>
      <c r="K249" s="15">
        <f t="shared" si="13"/>
        <v>1</v>
      </c>
      <c r="L249" s="16">
        <f t="shared" si="15"/>
        <v>1</v>
      </c>
    </row>
    <row r="250" spans="1:12" ht="15.95" customHeight="1">
      <c r="A250" s="187">
        <f t="shared" si="14"/>
        <v>1.1602121399999981</v>
      </c>
      <c r="B250" s="238" t="s">
        <v>248</v>
      </c>
      <c r="C250" s="242"/>
      <c r="D250" s="12" t="s">
        <v>48</v>
      </c>
      <c r="E250" s="14">
        <v>1</v>
      </c>
      <c r="F250" s="99"/>
      <c r="G250" s="14" t="s">
        <v>49</v>
      </c>
      <c r="H250" s="14" t="s">
        <v>49</v>
      </c>
      <c r="I250" s="14" t="s">
        <v>49</v>
      </c>
      <c r="J250" s="18"/>
      <c r="K250" s="15">
        <f t="shared" si="13"/>
        <v>1</v>
      </c>
      <c r="L250" s="16">
        <f t="shared" si="15"/>
        <v>1</v>
      </c>
    </row>
    <row r="251" spans="1:12" ht="15.95" customHeight="1">
      <c r="A251" s="187">
        <f t="shared" si="14"/>
        <v>1.160212149999998</v>
      </c>
      <c r="B251" s="238" t="s">
        <v>249</v>
      </c>
      <c r="C251" s="242"/>
      <c r="D251" s="12" t="s">
        <v>48</v>
      </c>
      <c r="E251" s="14">
        <v>1</v>
      </c>
      <c r="F251" s="99"/>
      <c r="G251" s="14" t="s">
        <v>49</v>
      </c>
      <c r="H251" s="14" t="s">
        <v>49</v>
      </c>
      <c r="I251" s="14" t="s">
        <v>49</v>
      </c>
      <c r="J251" s="18"/>
      <c r="K251" s="15">
        <f t="shared" si="13"/>
        <v>1</v>
      </c>
      <c r="L251" s="16">
        <f t="shared" si="15"/>
        <v>1</v>
      </c>
    </row>
    <row r="252" spans="1:12" ht="15.95" customHeight="1">
      <c r="A252" s="187">
        <f t="shared" si="14"/>
        <v>1.1602121599999979</v>
      </c>
      <c r="B252" s="238" t="s">
        <v>250</v>
      </c>
      <c r="C252" s="242"/>
      <c r="D252" s="12" t="s">
        <v>48</v>
      </c>
      <c r="E252" s="14">
        <v>1</v>
      </c>
      <c r="F252" s="99"/>
      <c r="G252" s="14" t="s">
        <v>49</v>
      </c>
      <c r="H252" s="14" t="s">
        <v>49</v>
      </c>
      <c r="I252" s="14" t="s">
        <v>49</v>
      </c>
      <c r="J252" s="18"/>
      <c r="K252" s="15">
        <f t="shared" si="13"/>
        <v>1</v>
      </c>
      <c r="L252" s="16">
        <f t="shared" si="15"/>
        <v>1</v>
      </c>
    </row>
    <row r="253" spans="1:12" ht="15.95" customHeight="1">
      <c r="A253" s="187">
        <f t="shared" si="14"/>
        <v>1.1602121699999979</v>
      </c>
      <c r="B253" s="238" t="s">
        <v>251</v>
      </c>
      <c r="C253" s="242"/>
      <c r="D253" s="12" t="s">
        <v>48</v>
      </c>
      <c r="E253" s="14">
        <v>1</v>
      </c>
      <c r="F253" s="99"/>
      <c r="G253" s="14" t="s">
        <v>49</v>
      </c>
      <c r="H253" s="14" t="s">
        <v>49</v>
      </c>
      <c r="I253" s="14" t="s">
        <v>49</v>
      </c>
      <c r="J253" s="18"/>
      <c r="K253" s="15">
        <f t="shared" si="13"/>
        <v>1</v>
      </c>
      <c r="L253" s="16">
        <f>+K253</f>
        <v>1</v>
      </c>
    </row>
    <row r="254" spans="1:12" ht="15.95" customHeight="1">
      <c r="A254" s="187">
        <f t="shared" si="14"/>
        <v>1.1602121799999978</v>
      </c>
      <c r="B254" s="238" t="s">
        <v>252</v>
      </c>
      <c r="C254" s="242"/>
      <c r="D254" s="12" t="s">
        <v>48</v>
      </c>
      <c r="E254" s="14">
        <v>1</v>
      </c>
      <c r="F254" s="99"/>
      <c r="G254" s="14" t="s">
        <v>49</v>
      </c>
      <c r="H254" s="14" t="s">
        <v>49</v>
      </c>
      <c r="I254" s="14" t="s">
        <v>49</v>
      </c>
      <c r="J254" s="18"/>
      <c r="K254" s="15">
        <f t="shared" si="13"/>
        <v>1</v>
      </c>
      <c r="L254" s="16">
        <f t="shared" si="15"/>
        <v>1</v>
      </c>
    </row>
    <row r="255" spans="1:12" ht="15.95" customHeight="1">
      <c r="A255" s="187">
        <f t="shared" si="14"/>
        <v>1.1602121899999978</v>
      </c>
      <c r="B255" s="238" t="s">
        <v>253</v>
      </c>
      <c r="C255" s="242"/>
      <c r="D255" s="12" t="s">
        <v>48</v>
      </c>
      <c r="E255" s="14">
        <f>+E252+E253+E254</f>
        <v>3</v>
      </c>
      <c r="F255" s="99"/>
      <c r="G255" s="14" t="s">
        <v>49</v>
      </c>
      <c r="H255" s="14" t="s">
        <v>49</v>
      </c>
      <c r="I255" s="14" t="s">
        <v>49</v>
      </c>
      <c r="J255" s="18"/>
      <c r="K255" s="15">
        <f t="shared" si="13"/>
        <v>3</v>
      </c>
      <c r="L255" s="16">
        <f t="shared" si="15"/>
        <v>3</v>
      </c>
    </row>
    <row r="256" spans="1:12" ht="15.95" customHeight="1">
      <c r="A256" s="206">
        <f t="shared" si="14"/>
        <v>1.1602121999999977</v>
      </c>
      <c r="B256" s="240" t="s">
        <v>254</v>
      </c>
      <c r="C256" s="251"/>
      <c r="D256" s="84" t="s">
        <v>48</v>
      </c>
      <c r="E256" s="86">
        <f>+E249+E250+E251</f>
        <v>3</v>
      </c>
      <c r="F256" s="112"/>
      <c r="G256" s="86" t="s">
        <v>49</v>
      </c>
      <c r="H256" s="86" t="s">
        <v>49</v>
      </c>
      <c r="I256" s="86" t="s">
        <v>49</v>
      </c>
      <c r="J256" s="100"/>
      <c r="K256" s="95">
        <f t="shared" si="13"/>
        <v>3</v>
      </c>
      <c r="L256" s="87">
        <f t="shared" si="15"/>
        <v>3</v>
      </c>
    </row>
    <row r="257" spans="1:12" ht="15.95" customHeight="1">
      <c r="A257" s="188">
        <f>+A236+0.000001</f>
        <v>1.1602129999999988</v>
      </c>
      <c r="B257" s="252" t="s">
        <v>255</v>
      </c>
      <c r="C257" s="254"/>
      <c r="D257" s="189"/>
      <c r="E257" s="190"/>
      <c r="F257" s="189"/>
      <c r="G257" s="189"/>
      <c r="H257" s="189"/>
      <c r="I257" s="189"/>
      <c r="J257" s="189"/>
      <c r="K257" s="191"/>
      <c r="L257" s="191"/>
    </row>
    <row r="258" spans="1:12" ht="15.95" customHeight="1">
      <c r="A258" s="187">
        <f t="shared" si="14"/>
        <v>1.1602130099999988</v>
      </c>
      <c r="B258" s="255" t="s">
        <v>256</v>
      </c>
      <c r="C258" s="256"/>
      <c r="D258" s="192" t="s">
        <v>241</v>
      </c>
      <c r="E258" s="193">
        <v>4</v>
      </c>
      <c r="F258" s="192"/>
      <c r="G258" s="192" t="s">
        <v>49</v>
      </c>
      <c r="H258" s="192" t="s">
        <v>49</v>
      </c>
      <c r="I258" s="192" t="s">
        <v>49</v>
      </c>
      <c r="J258" s="192"/>
      <c r="K258" s="194">
        <f t="shared" ref="K258:K264" si="16">+PRODUCT(E258:J258)</f>
        <v>4</v>
      </c>
      <c r="L258" s="195">
        <f t="shared" ref="L258:L264" si="17">+K258</f>
        <v>4</v>
      </c>
    </row>
    <row r="259" spans="1:12" ht="15.95" customHeight="1">
      <c r="A259" s="187">
        <f t="shared" si="14"/>
        <v>1.1602130199999987</v>
      </c>
      <c r="B259" s="255" t="s">
        <v>257</v>
      </c>
      <c r="C259" s="256"/>
      <c r="D259" s="192" t="s">
        <v>241</v>
      </c>
      <c r="E259" s="193">
        <v>1</v>
      </c>
      <c r="F259" s="192"/>
      <c r="G259" s="192" t="s">
        <v>49</v>
      </c>
      <c r="H259" s="192" t="s">
        <v>49</v>
      </c>
      <c r="I259" s="192" t="s">
        <v>49</v>
      </c>
      <c r="J259" s="192"/>
      <c r="K259" s="194">
        <f t="shared" si="16"/>
        <v>1</v>
      </c>
      <c r="L259" s="195">
        <f t="shared" si="17"/>
        <v>1</v>
      </c>
    </row>
    <row r="260" spans="1:12" ht="15.95" customHeight="1">
      <c r="A260" s="187">
        <f t="shared" si="14"/>
        <v>1.1602130299999986</v>
      </c>
      <c r="B260" s="255" t="s">
        <v>258</v>
      </c>
      <c r="C260" s="256"/>
      <c r="D260" s="192" t="s">
        <v>237</v>
      </c>
      <c r="E260" s="193">
        <v>1</v>
      </c>
      <c r="F260" s="192"/>
      <c r="G260" s="192" t="s">
        <v>49</v>
      </c>
      <c r="H260" s="192">
        <v>14</v>
      </c>
      <c r="I260" s="192" t="s">
        <v>49</v>
      </c>
      <c r="J260" s="192"/>
      <c r="K260" s="194">
        <f t="shared" si="16"/>
        <v>14</v>
      </c>
      <c r="L260" s="195">
        <f t="shared" si="17"/>
        <v>14</v>
      </c>
    </row>
    <row r="261" spans="1:12" ht="15.95" customHeight="1">
      <c r="A261" s="187">
        <f t="shared" si="14"/>
        <v>1.1602130399999986</v>
      </c>
      <c r="B261" s="255" t="s">
        <v>259</v>
      </c>
      <c r="C261" s="256"/>
      <c r="D261" s="192" t="s">
        <v>237</v>
      </c>
      <c r="E261" s="193">
        <v>1</v>
      </c>
      <c r="F261" s="192"/>
      <c r="G261" s="192" t="s">
        <v>49</v>
      </c>
      <c r="H261" s="192">
        <v>17</v>
      </c>
      <c r="I261" s="192" t="s">
        <v>49</v>
      </c>
      <c r="J261" s="192"/>
      <c r="K261" s="194">
        <f t="shared" si="16"/>
        <v>17</v>
      </c>
      <c r="L261" s="195">
        <f t="shared" si="17"/>
        <v>17</v>
      </c>
    </row>
    <row r="262" spans="1:12" ht="15.95" customHeight="1">
      <c r="A262" s="187">
        <f t="shared" si="14"/>
        <v>1.1602130499999985</v>
      </c>
      <c r="B262" s="255" t="s">
        <v>260</v>
      </c>
      <c r="C262" s="256"/>
      <c r="D262" s="192" t="s">
        <v>235</v>
      </c>
      <c r="E262" s="193">
        <v>2</v>
      </c>
      <c r="F262" s="192"/>
      <c r="G262" s="192" t="s">
        <v>49</v>
      </c>
      <c r="H262" s="192" t="s">
        <v>49</v>
      </c>
      <c r="I262" s="192" t="s">
        <v>49</v>
      </c>
      <c r="J262" s="192"/>
      <c r="K262" s="194">
        <f t="shared" si="16"/>
        <v>2</v>
      </c>
      <c r="L262" s="195">
        <f t="shared" si="17"/>
        <v>2</v>
      </c>
    </row>
    <row r="263" spans="1:12" ht="15.95" customHeight="1">
      <c r="A263" s="187">
        <f t="shared" si="14"/>
        <v>1.1602130599999985</v>
      </c>
      <c r="B263" s="255" t="s">
        <v>261</v>
      </c>
      <c r="C263" s="256"/>
      <c r="D263" s="192" t="s">
        <v>235</v>
      </c>
      <c r="E263" s="193">
        <v>1</v>
      </c>
      <c r="F263" s="192"/>
      <c r="G263" s="192" t="s">
        <v>49</v>
      </c>
      <c r="H263" s="192" t="s">
        <v>49</v>
      </c>
      <c r="I263" s="192" t="s">
        <v>49</v>
      </c>
      <c r="J263" s="192"/>
      <c r="K263" s="194">
        <f>+PRODUCT(E263:J263)</f>
        <v>1</v>
      </c>
      <c r="L263" s="195">
        <f>+K263</f>
        <v>1</v>
      </c>
    </row>
    <row r="264" spans="1:12" ht="15.95" customHeight="1">
      <c r="A264" s="206">
        <f t="shared" si="14"/>
        <v>1.1602130699999984</v>
      </c>
      <c r="B264" s="257" t="s">
        <v>262</v>
      </c>
      <c r="C264" s="258"/>
      <c r="D264" s="124" t="s">
        <v>235</v>
      </c>
      <c r="E264" s="125">
        <v>1</v>
      </c>
      <c r="F264" s="124"/>
      <c r="G264" s="124" t="s">
        <v>49</v>
      </c>
      <c r="H264" s="124" t="s">
        <v>49</v>
      </c>
      <c r="I264" s="124" t="s">
        <v>49</v>
      </c>
      <c r="J264" s="124"/>
      <c r="K264" s="126">
        <f t="shared" si="16"/>
        <v>1</v>
      </c>
      <c r="L264" s="127">
        <f t="shared" si="17"/>
        <v>1</v>
      </c>
    </row>
  </sheetData>
  <mergeCells count="8">
    <mergeCell ref="A1:L1"/>
    <mergeCell ref="B2:L2"/>
    <mergeCell ref="A6:A7"/>
    <mergeCell ref="B6:C7"/>
    <mergeCell ref="D6:D7"/>
    <mergeCell ref="F6:J6"/>
    <mergeCell ref="K6:K7"/>
    <mergeCell ref="L6:L7"/>
  </mergeCells>
  <printOptions horizontalCentered="1" gridLines="1"/>
  <pageMargins left="0.59055118110236227" right="0.59055118110236227" top="0.98425196850393704" bottom="0.59055118110236227" header="0.51181102362204722" footer="0.51181102362204722"/>
  <pageSetup paperSize="9" scale="80" orientation="landscape" horizontalDpi="200" verticalDpi="200" r:id="rId1"/>
  <headerFooter alignWithMargins="0">
    <oddHeader>&amp;C&amp;14PLANILLA DE METRADOS DE RESERVORIOS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BE002F-C647-4EB9-8F9B-7647B9991C3F}">
  <sheetPr>
    <tabColor theme="3" tint="0.39997558519241921"/>
  </sheetPr>
  <dimension ref="A1:L62"/>
  <sheetViews>
    <sheetView view="pageBreakPreview" topLeftCell="A24" zoomScaleNormal="85" zoomScaleSheetLayoutView="100" workbookViewId="0">
      <selection activeCell="P4" sqref="P4"/>
    </sheetView>
  </sheetViews>
  <sheetFormatPr defaultColWidth="11.42578125" defaultRowHeight="12.75" customHeight="1"/>
  <cols>
    <col min="1" max="1" width="14.7109375" style="22" customWidth="1"/>
    <col min="2" max="3" width="27.85546875" style="22" customWidth="1"/>
    <col min="4" max="4" width="8" style="22" customWidth="1"/>
    <col min="5" max="5" width="7.28515625" style="22" customWidth="1"/>
    <col min="6" max="10" width="9.28515625" style="22" customWidth="1"/>
    <col min="11" max="12" width="10.42578125" style="36" customWidth="1"/>
    <col min="13" max="13" width="8" style="4" customWidth="1"/>
    <col min="14" max="16384" width="11.42578125" style="4"/>
  </cols>
  <sheetData>
    <row r="1" spans="1:12" ht="18.75" customHeight="1">
      <c r="A1" s="332" t="s">
        <v>16</v>
      </c>
      <c r="B1" s="333"/>
      <c r="C1" s="333"/>
      <c r="D1" s="333"/>
      <c r="E1" s="333"/>
      <c r="F1" s="333"/>
      <c r="G1" s="333"/>
      <c r="H1" s="333"/>
      <c r="I1" s="333"/>
      <c r="J1" s="333"/>
      <c r="K1" s="333"/>
      <c r="L1" s="334"/>
    </row>
    <row r="2" spans="1:12" ht="12.75" customHeight="1">
      <c r="A2" s="234" t="s">
        <v>17</v>
      </c>
      <c r="B2" s="341" t="str">
        <f>+Resumen!B2</f>
        <v>ESTUDIO DEFINITIVO Y EXPEDIENTE TECNICO: AMPLIACION Y MEJORAMIENTO DE LOS SISTEMAS DE AGUA POTABLE Y ALCANTARILLADO DEL ESQUEMA PUCUSANA.</v>
      </c>
      <c r="C2" s="341"/>
      <c r="D2" s="341"/>
      <c r="E2" s="341"/>
      <c r="F2" s="341"/>
      <c r="G2" s="341"/>
      <c r="H2" s="341"/>
      <c r="I2" s="341"/>
      <c r="J2" s="341"/>
      <c r="K2" s="341"/>
      <c r="L2" s="342"/>
    </row>
    <row r="3" spans="1:12" ht="12.75" customHeight="1">
      <c r="A3" s="203" t="s">
        <v>5</v>
      </c>
      <c r="B3" s="29" t="s">
        <v>6</v>
      </c>
      <c r="C3" s="10"/>
      <c r="D3" s="21"/>
      <c r="E3" s="5"/>
      <c r="F3" s="10"/>
      <c r="G3" s="10"/>
      <c r="H3" s="10"/>
      <c r="I3" s="10"/>
      <c r="J3" s="10"/>
      <c r="K3" s="11"/>
      <c r="L3" s="81"/>
    </row>
    <row r="4" spans="1:12" ht="12.75" customHeight="1">
      <c r="A4" s="203" t="s">
        <v>7</v>
      </c>
      <c r="B4" s="29" t="s">
        <v>263</v>
      </c>
      <c r="C4" s="10"/>
      <c r="D4" s="21"/>
      <c r="E4" s="5"/>
      <c r="F4" s="10"/>
      <c r="G4" s="10"/>
      <c r="H4" s="10"/>
      <c r="I4" s="10"/>
      <c r="J4" s="10"/>
      <c r="K4" s="11"/>
      <c r="L4" s="81"/>
    </row>
    <row r="5" spans="1:12" ht="12.75" customHeight="1">
      <c r="A5" s="203" t="s">
        <v>11</v>
      </c>
      <c r="B5" s="29" t="s">
        <v>18</v>
      </c>
      <c r="C5" s="10"/>
      <c r="D5" s="21"/>
      <c r="E5" s="5"/>
      <c r="F5" s="10"/>
      <c r="G5" s="10"/>
      <c r="H5" s="10"/>
      <c r="I5" s="10"/>
      <c r="J5" s="10"/>
      <c r="K5" s="11"/>
      <c r="L5" s="81"/>
    </row>
    <row r="6" spans="1:12" ht="12.75" customHeight="1">
      <c r="A6" s="337" t="s">
        <v>19</v>
      </c>
      <c r="B6" s="337" t="s">
        <v>20</v>
      </c>
      <c r="C6" s="337"/>
      <c r="D6" s="337" t="s">
        <v>21</v>
      </c>
      <c r="E6" s="324" t="s">
        <v>22</v>
      </c>
      <c r="F6" s="337" t="s">
        <v>23</v>
      </c>
      <c r="G6" s="337"/>
      <c r="H6" s="337"/>
      <c r="I6" s="337"/>
      <c r="J6" s="337"/>
      <c r="K6" s="339" t="s">
        <v>24</v>
      </c>
      <c r="L6" s="339" t="s">
        <v>25</v>
      </c>
    </row>
    <row r="7" spans="1:12" ht="12.75" customHeight="1">
      <c r="A7" s="337"/>
      <c r="B7" s="337"/>
      <c r="C7" s="337"/>
      <c r="D7" s="337"/>
      <c r="E7" s="324" t="s">
        <v>26</v>
      </c>
      <c r="F7" s="324" t="s">
        <v>27</v>
      </c>
      <c r="G7" s="324" t="s">
        <v>28</v>
      </c>
      <c r="H7" s="324" t="s">
        <v>29</v>
      </c>
      <c r="I7" s="324" t="s">
        <v>30</v>
      </c>
      <c r="J7" s="324" t="s">
        <v>31</v>
      </c>
      <c r="K7" s="339"/>
      <c r="L7" s="339"/>
    </row>
    <row r="8" spans="1:12" s="62" customFormat="1" ht="12.75" customHeight="1">
      <c r="A8" s="186">
        <f>+'2.caseta de valvulas'!A8+0.0001</f>
        <v>1.1602999999999999</v>
      </c>
      <c r="B8" s="78" t="s">
        <v>264</v>
      </c>
      <c r="C8" s="79"/>
      <c r="D8" s="30"/>
      <c r="E8" s="30"/>
      <c r="F8" s="30"/>
      <c r="G8" s="30"/>
      <c r="H8" s="30"/>
      <c r="I8" s="30"/>
      <c r="J8" s="30"/>
      <c r="K8" s="31"/>
      <c r="L8" s="31"/>
    </row>
    <row r="9" spans="1:12" s="62" customFormat="1" ht="12.75" customHeight="1">
      <c r="A9" s="188">
        <f>+A8+0.000001</f>
        <v>1.1603009999999998</v>
      </c>
      <c r="B9" s="32" t="s">
        <v>46</v>
      </c>
      <c r="C9" s="80"/>
      <c r="D9" s="6"/>
      <c r="E9" s="7"/>
      <c r="F9" s="8"/>
      <c r="G9" s="8"/>
      <c r="H9" s="8"/>
      <c r="I9" s="8"/>
      <c r="J9" s="8"/>
      <c r="K9" s="9"/>
      <c r="L9" s="20"/>
    </row>
    <row r="10" spans="1:12" s="62" customFormat="1" ht="12.75" customHeight="1">
      <c r="A10" s="187">
        <f>+A9+0.00000001</f>
        <v>1.1603010099999997</v>
      </c>
      <c r="B10" s="34" t="s">
        <v>265</v>
      </c>
      <c r="C10" s="81"/>
      <c r="D10" s="12" t="s">
        <v>55</v>
      </c>
      <c r="E10" s="13"/>
      <c r="F10" s="12"/>
      <c r="G10" s="14"/>
      <c r="H10" s="14"/>
      <c r="I10" s="14"/>
      <c r="J10" s="14"/>
      <c r="K10" s="16">
        <f>+SUM(K11)</f>
        <v>3.1500000000000004</v>
      </c>
      <c r="L10" s="16">
        <f>+K10</f>
        <v>3.1500000000000004</v>
      </c>
    </row>
    <row r="11" spans="1:12" s="62" customFormat="1" ht="12.75" customHeight="1">
      <c r="A11" s="117"/>
      <c r="B11" s="34"/>
      <c r="C11" s="81" t="s">
        <v>266</v>
      </c>
      <c r="D11" s="12"/>
      <c r="E11" s="13">
        <v>1</v>
      </c>
      <c r="F11" s="12"/>
      <c r="G11" s="14" t="s">
        <v>49</v>
      </c>
      <c r="H11" s="14">
        <v>2.1</v>
      </c>
      <c r="I11" s="14">
        <v>1.5</v>
      </c>
      <c r="J11" s="14"/>
      <c r="K11" s="16">
        <f>+PRODUCT(E11:J11)</f>
        <v>3.1500000000000004</v>
      </c>
      <c r="L11" s="16"/>
    </row>
    <row r="12" spans="1:12" s="62" customFormat="1" ht="12.75" customHeight="1">
      <c r="A12" s="187">
        <f>+A10+0.00000001</f>
        <v>1.1603010199999997</v>
      </c>
      <c r="B12" s="34" t="s">
        <v>267</v>
      </c>
      <c r="C12" s="81"/>
      <c r="D12" s="12" t="s">
        <v>55</v>
      </c>
      <c r="E12" s="13"/>
      <c r="F12" s="18"/>
      <c r="G12" s="18"/>
      <c r="H12" s="18"/>
      <c r="I12" s="18"/>
      <c r="J12" s="18"/>
      <c r="K12" s="16">
        <f>+SUM(K13)</f>
        <v>3.1500000000000004</v>
      </c>
      <c r="L12" s="16">
        <f>+K12</f>
        <v>3.1500000000000004</v>
      </c>
    </row>
    <row r="13" spans="1:12" s="62" customFormat="1" ht="12.75" customHeight="1">
      <c r="A13" s="119"/>
      <c r="B13" s="82"/>
      <c r="C13" s="83" t="s">
        <v>268</v>
      </c>
      <c r="D13" s="84"/>
      <c r="E13" s="85">
        <v>1</v>
      </c>
      <c r="F13" s="86"/>
      <c r="G13" s="86" t="s">
        <v>49</v>
      </c>
      <c r="H13" s="86">
        <f>+H11</f>
        <v>2.1</v>
      </c>
      <c r="I13" s="86">
        <f>+I11</f>
        <v>1.5</v>
      </c>
      <c r="J13" s="86"/>
      <c r="K13" s="16">
        <f>+PRODUCT(E13:J13)</f>
        <v>3.1500000000000004</v>
      </c>
      <c r="L13" s="87">
        <f>K13</f>
        <v>3.1500000000000004</v>
      </c>
    </row>
    <row r="14" spans="1:12" s="62" customFormat="1" ht="12.75" customHeight="1">
      <c r="A14" s="188">
        <f>+A9+0.000001</f>
        <v>1.1603019999999997</v>
      </c>
      <c r="B14" s="32" t="s">
        <v>51</v>
      </c>
      <c r="C14" s="80"/>
      <c r="D14" s="6"/>
      <c r="E14" s="7"/>
      <c r="F14" s="6"/>
      <c r="G14" s="88"/>
      <c r="H14" s="88"/>
      <c r="I14" s="88"/>
      <c r="J14" s="88"/>
      <c r="K14" s="9"/>
      <c r="L14" s="89"/>
    </row>
    <row r="15" spans="1:12" s="62" customFormat="1" ht="12.75" customHeight="1">
      <c r="A15" s="187">
        <f>+A14+0.00000001</f>
        <v>1.1603020099999997</v>
      </c>
      <c r="B15" s="34" t="s">
        <v>269</v>
      </c>
      <c r="C15" s="90"/>
      <c r="D15" s="12" t="s">
        <v>36</v>
      </c>
      <c r="E15" s="13"/>
      <c r="F15" s="12"/>
      <c r="G15" s="12"/>
      <c r="H15" s="12"/>
      <c r="I15" s="12"/>
      <c r="J15" s="12"/>
      <c r="K15" s="16">
        <f>SUM(K16:K16)</f>
        <v>5.8275000000000006</v>
      </c>
      <c r="L15" s="17">
        <f>+K15</f>
        <v>5.8275000000000006</v>
      </c>
    </row>
    <row r="16" spans="1:12" s="62" customFormat="1" ht="12.75" customHeight="1">
      <c r="A16" s="117"/>
      <c r="B16" s="34"/>
      <c r="C16" s="81" t="s">
        <v>270</v>
      </c>
      <c r="D16" s="12"/>
      <c r="E16" s="13">
        <v>1</v>
      </c>
      <c r="F16" s="12"/>
      <c r="G16" s="14">
        <v>1.85</v>
      </c>
      <c r="H16" s="14">
        <f>+H11</f>
        <v>2.1</v>
      </c>
      <c r="I16" s="14">
        <f>+I11</f>
        <v>1.5</v>
      </c>
      <c r="J16" s="14"/>
      <c r="K16" s="15">
        <f>PRODUCT(E16:J16)</f>
        <v>5.8275000000000006</v>
      </c>
      <c r="L16" s="17"/>
    </row>
    <row r="17" spans="1:12" s="62" customFormat="1" ht="12.75" customHeight="1">
      <c r="A17" s="187">
        <f>+A15+0.00000001</f>
        <v>1.1603020199999996</v>
      </c>
      <c r="B17" s="34" t="s">
        <v>271</v>
      </c>
      <c r="C17" s="81"/>
      <c r="D17" s="12" t="s">
        <v>55</v>
      </c>
      <c r="E17" s="13"/>
      <c r="F17" s="12"/>
      <c r="G17" s="14"/>
      <c r="H17" s="14"/>
      <c r="I17" s="14"/>
      <c r="J17" s="14"/>
      <c r="K17" s="16">
        <f>+SUM(K18:K18)</f>
        <v>3.1500000000000004</v>
      </c>
      <c r="L17" s="16">
        <f>+K17</f>
        <v>3.1500000000000004</v>
      </c>
    </row>
    <row r="18" spans="1:12" s="62" customFormat="1" ht="12.75" customHeight="1">
      <c r="A18" s="117"/>
      <c r="B18" s="34"/>
      <c r="C18" s="81" t="s">
        <v>272</v>
      </c>
      <c r="D18" s="12" t="s">
        <v>55</v>
      </c>
      <c r="E18" s="12">
        <v>1</v>
      </c>
      <c r="F18" s="18"/>
      <c r="G18" s="14" t="s">
        <v>49</v>
      </c>
      <c r="H18" s="14">
        <f>+H16</f>
        <v>2.1</v>
      </c>
      <c r="I18" s="14">
        <f>+I16</f>
        <v>1.5</v>
      </c>
      <c r="J18" s="14"/>
      <c r="K18" s="15">
        <f>+PRODUCT(E18:J18)</f>
        <v>3.1500000000000004</v>
      </c>
      <c r="L18" s="16"/>
    </row>
    <row r="19" spans="1:12" s="62" customFormat="1" ht="12.75" customHeight="1">
      <c r="A19" s="187">
        <f>+A17+0.00000001</f>
        <v>1.1603020299999995</v>
      </c>
      <c r="B19" s="34" t="s">
        <v>273</v>
      </c>
      <c r="C19" s="81"/>
      <c r="D19" s="12" t="s">
        <v>36</v>
      </c>
      <c r="E19" s="12"/>
      <c r="F19" s="12"/>
      <c r="G19" s="12"/>
      <c r="H19" s="12"/>
      <c r="I19" s="12"/>
      <c r="J19" s="18"/>
      <c r="K19" s="16">
        <f>+SUM(K20:K20)</f>
        <v>7.5757500000000011</v>
      </c>
      <c r="L19" s="16">
        <f>+K19</f>
        <v>7.5757500000000011</v>
      </c>
    </row>
    <row r="20" spans="1:12" s="62" customFormat="1" ht="12.75" customHeight="1">
      <c r="A20" s="118"/>
      <c r="B20" s="91"/>
      <c r="C20" s="81" t="s">
        <v>274</v>
      </c>
      <c r="D20" s="12" t="s">
        <v>36</v>
      </c>
      <c r="E20" s="12">
        <v>1</v>
      </c>
      <c r="F20" s="12">
        <v>1.3</v>
      </c>
      <c r="G20" s="12" t="s">
        <v>49</v>
      </c>
      <c r="H20" s="12"/>
      <c r="I20" s="12" t="s">
        <v>59</v>
      </c>
      <c r="J20" s="18">
        <f>+L15</f>
        <v>5.8275000000000006</v>
      </c>
      <c r="K20" s="15">
        <f>+PRODUCT(E20:J20)</f>
        <v>7.5757500000000011</v>
      </c>
      <c r="L20" s="16"/>
    </row>
    <row r="21" spans="1:12" s="62" customFormat="1" ht="12.75" customHeight="1">
      <c r="A21" s="185">
        <f>+A14+0.000001</f>
        <v>1.1603029999999996</v>
      </c>
      <c r="B21" s="78" t="s">
        <v>275</v>
      </c>
      <c r="C21" s="79"/>
      <c r="D21" s="92"/>
      <c r="E21" s="92"/>
      <c r="F21" s="93"/>
      <c r="G21" s="93"/>
      <c r="H21" s="93"/>
      <c r="I21" s="93"/>
      <c r="J21" s="93"/>
      <c r="K21" s="94"/>
      <c r="L21" s="94"/>
    </row>
    <row r="22" spans="1:12" s="62" customFormat="1" ht="12.75" customHeight="1">
      <c r="A22" s="187">
        <f>+A21+0.00000001</f>
        <v>1.1603030099999996</v>
      </c>
      <c r="B22" s="34" t="s">
        <v>276</v>
      </c>
      <c r="C22" s="90"/>
      <c r="D22" s="12" t="s">
        <v>55</v>
      </c>
      <c r="E22" s="13"/>
      <c r="F22" s="14"/>
      <c r="G22" s="14"/>
      <c r="H22" s="14"/>
      <c r="I22" s="14"/>
      <c r="J22" s="14"/>
      <c r="K22" s="16">
        <f>+SUM(K23:K23)</f>
        <v>3.1500000000000004</v>
      </c>
      <c r="L22" s="16">
        <f>K22</f>
        <v>3.1500000000000004</v>
      </c>
    </row>
    <row r="23" spans="1:12" s="62" customFormat="1" ht="12.75" customHeight="1">
      <c r="A23" s="119"/>
      <c r="B23" s="82"/>
      <c r="C23" s="83" t="s">
        <v>277</v>
      </c>
      <c r="D23" s="84"/>
      <c r="E23" s="85">
        <v>1</v>
      </c>
      <c r="F23" s="84"/>
      <c r="G23" s="86" t="s">
        <v>49</v>
      </c>
      <c r="H23" s="86">
        <f>+H18</f>
        <v>2.1</v>
      </c>
      <c r="I23" s="86">
        <f>+I18</f>
        <v>1.5</v>
      </c>
      <c r="J23" s="86"/>
      <c r="K23" s="95">
        <f>PRODUCT(E23:J23)</f>
        <v>3.1500000000000004</v>
      </c>
      <c r="L23" s="87"/>
    </row>
    <row r="24" spans="1:12" s="62" customFormat="1" ht="12.75" customHeight="1">
      <c r="A24" s="185">
        <f>+A21+0.000001</f>
        <v>1.1603039999999996</v>
      </c>
      <c r="B24" s="78" t="s">
        <v>63</v>
      </c>
      <c r="C24" s="96"/>
      <c r="D24" s="30"/>
      <c r="E24" s="92"/>
      <c r="F24" s="30"/>
      <c r="G24" s="93"/>
      <c r="H24" s="93"/>
      <c r="I24" s="93"/>
      <c r="J24" s="93"/>
      <c r="K24" s="94"/>
      <c r="L24" s="94"/>
    </row>
    <row r="25" spans="1:12" s="62" customFormat="1" ht="12.75" customHeight="1">
      <c r="A25" s="187">
        <f>+A24+0.00000001</f>
        <v>1.1603040099999995</v>
      </c>
      <c r="B25" s="34" t="s">
        <v>278</v>
      </c>
      <c r="C25" s="81"/>
      <c r="D25" s="12" t="s">
        <v>36</v>
      </c>
      <c r="E25" s="97"/>
      <c r="F25" s="14"/>
      <c r="G25" s="14"/>
      <c r="H25" s="14"/>
      <c r="I25" s="14"/>
      <c r="J25" s="14"/>
      <c r="K25" s="16">
        <f>SUM(K26)</f>
        <v>0.63000000000000012</v>
      </c>
      <c r="L25" s="16">
        <f>K25</f>
        <v>0.63000000000000012</v>
      </c>
    </row>
    <row r="26" spans="1:12" s="62" customFormat="1" ht="12.75" customHeight="1">
      <c r="A26" s="117"/>
      <c r="B26" s="98"/>
      <c r="C26" s="81" t="s">
        <v>279</v>
      </c>
      <c r="D26" s="13" t="s">
        <v>36</v>
      </c>
      <c r="E26" s="13">
        <v>1</v>
      </c>
      <c r="F26" s="14"/>
      <c r="G26" s="14">
        <v>0.2</v>
      </c>
      <c r="H26" s="14">
        <f>+H23</f>
        <v>2.1</v>
      </c>
      <c r="I26" s="14">
        <f>+I23</f>
        <v>1.5</v>
      </c>
      <c r="J26" s="14"/>
      <c r="K26" s="15">
        <f>PRODUCT(E26:J26)</f>
        <v>0.63000000000000012</v>
      </c>
      <c r="L26" s="16"/>
    </row>
    <row r="27" spans="1:12" s="62" customFormat="1" ht="12.75" customHeight="1">
      <c r="A27" s="187">
        <f>+A25+0.00000001</f>
        <v>1.1603040199999994</v>
      </c>
      <c r="B27" s="34" t="s">
        <v>280</v>
      </c>
      <c r="C27" s="81"/>
      <c r="D27" s="13" t="s">
        <v>55</v>
      </c>
      <c r="E27" s="13"/>
      <c r="F27" s="12"/>
      <c r="G27" s="14"/>
      <c r="H27" s="14"/>
      <c r="I27" s="14"/>
      <c r="J27" s="14"/>
      <c r="K27" s="16">
        <f>SUM(K28)</f>
        <v>1.4400000000000002</v>
      </c>
      <c r="L27" s="16">
        <f>K27</f>
        <v>1.4400000000000002</v>
      </c>
    </row>
    <row r="28" spans="1:12" s="62" customFormat="1" ht="12.75" customHeight="1">
      <c r="A28" s="117"/>
      <c r="B28" s="34"/>
      <c r="C28" s="81" t="s">
        <v>281</v>
      </c>
      <c r="D28" s="13" t="s">
        <v>55</v>
      </c>
      <c r="E28" s="13">
        <v>1</v>
      </c>
      <c r="F28" s="12"/>
      <c r="G28" s="14">
        <v>0.2</v>
      </c>
      <c r="H28" s="14">
        <f>2*(H26+I26)</f>
        <v>7.2</v>
      </c>
      <c r="I28" s="14" t="s">
        <v>49</v>
      </c>
      <c r="J28" s="14"/>
      <c r="K28" s="15">
        <f>PRODUCT(E28:J28)</f>
        <v>1.4400000000000002</v>
      </c>
      <c r="L28" s="16"/>
    </row>
    <row r="29" spans="1:12" s="62" customFormat="1" ht="12.75" customHeight="1">
      <c r="A29" s="187">
        <f>+A27+0.00000001</f>
        <v>1.1603040299999994</v>
      </c>
      <c r="B29" s="34" t="s">
        <v>282</v>
      </c>
      <c r="C29" s="90"/>
      <c r="D29" s="12" t="s">
        <v>68</v>
      </c>
      <c r="E29" s="13"/>
      <c r="F29" s="14"/>
      <c r="G29" s="14"/>
      <c r="H29" s="14"/>
      <c r="I29" s="14"/>
      <c r="J29" s="14"/>
      <c r="K29" s="16">
        <f>+SUM(K30)</f>
        <v>47.712000000000003</v>
      </c>
      <c r="L29" s="16">
        <f>K29</f>
        <v>47.712000000000003</v>
      </c>
    </row>
    <row r="30" spans="1:12" s="62" customFormat="1" ht="12.75" customHeight="1">
      <c r="A30" s="117"/>
      <c r="B30" s="34"/>
      <c r="C30" s="81" t="s">
        <v>283</v>
      </c>
      <c r="D30" s="12" t="s">
        <v>68</v>
      </c>
      <c r="E30" s="13" t="s">
        <v>49</v>
      </c>
      <c r="F30" s="12"/>
      <c r="G30" s="14" t="s">
        <v>49</v>
      </c>
      <c r="H30" s="14" t="s">
        <v>49</v>
      </c>
      <c r="I30" s="14" t="s">
        <v>49</v>
      </c>
      <c r="J30" s="14"/>
      <c r="K30" s="15">
        <f>+'6.acero'!O144</f>
        <v>47.712000000000003</v>
      </c>
      <c r="L30" s="16"/>
    </row>
    <row r="31" spans="1:12" s="62" customFormat="1" ht="12.75" customHeight="1">
      <c r="A31" s="187">
        <f>+A29+0.00000001</f>
        <v>1.1603040399999993</v>
      </c>
      <c r="B31" s="34" t="s">
        <v>284</v>
      </c>
      <c r="C31" s="81"/>
      <c r="D31" s="12" t="s">
        <v>36</v>
      </c>
      <c r="E31" s="13"/>
      <c r="F31" s="12"/>
      <c r="G31" s="14"/>
      <c r="H31" s="14"/>
      <c r="I31" s="14"/>
      <c r="J31" s="14"/>
      <c r="K31" s="16">
        <f>SUM(K32:K33)</f>
        <v>1.782</v>
      </c>
      <c r="L31" s="16">
        <f>K31</f>
        <v>1.782</v>
      </c>
    </row>
    <row r="32" spans="1:12" s="62" customFormat="1" ht="12.75" customHeight="1">
      <c r="A32" s="117"/>
      <c r="B32" s="34"/>
      <c r="C32" s="81" t="s">
        <v>285</v>
      </c>
      <c r="D32" s="12" t="s">
        <v>36</v>
      </c>
      <c r="E32" s="13">
        <v>2</v>
      </c>
      <c r="F32" s="12"/>
      <c r="G32" s="14">
        <v>1.8</v>
      </c>
      <c r="H32" s="14">
        <f>+H26</f>
        <v>2.1</v>
      </c>
      <c r="I32" s="14">
        <v>0.15</v>
      </c>
      <c r="J32" s="14"/>
      <c r="K32" s="15">
        <f>PRODUCT(E32:J32)</f>
        <v>1.1340000000000001</v>
      </c>
      <c r="L32" s="16"/>
    </row>
    <row r="33" spans="1:12" s="62" customFormat="1" ht="12.75" customHeight="1">
      <c r="A33" s="117"/>
      <c r="B33" s="34"/>
      <c r="C33" s="81" t="s">
        <v>286</v>
      </c>
      <c r="D33" s="12" t="s">
        <v>36</v>
      </c>
      <c r="E33" s="97">
        <v>2</v>
      </c>
      <c r="F33" s="14"/>
      <c r="G33" s="14">
        <v>1.8</v>
      </c>
      <c r="H33" s="14">
        <f>+I26-0.3</f>
        <v>1.2</v>
      </c>
      <c r="I33" s="14">
        <v>0.15</v>
      </c>
      <c r="J33" s="14"/>
      <c r="K33" s="15">
        <f>PRODUCT(E33:J33)</f>
        <v>0.64800000000000002</v>
      </c>
      <c r="L33" s="16"/>
    </row>
    <row r="34" spans="1:12" s="62" customFormat="1" ht="12.75" customHeight="1">
      <c r="A34" s="187">
        <f>+A31+0.00000001</f>
        <v>1.1603040499999993</v>
      </c>
      <c r="B34" s="34" t="s">
        <v>287</v>
      </c>
      <c r="C34" s="81"/>
      <c r="D34" s="12" t="s">
        <v>55</v>
      </c>
      <c r="E34" s="12"/>
      <c r="F34" s="12"/>
      <c r="G34" s="12"/>
      <c r="H34" s="12"/>
      <c r="I34" s="12"/>
      <c r="J34" s="18"/>
      <c r="K34" s="16">
        <f>SUM(K35:K36)</f>
        <v>23.76</v>
      </c>
      <c r="L34" s="16">
        <f>K34</f>
        <v>23.76</v>
      </c>
    </row>
    <row r="35" spans="1:12" s="62" customFormat="1" ht="12.75" customHeight="1">
      <c r="A35" s="117"/>
      <c r="B35" s="34"/>
      <c r="C35" s="81" t="s">
        <v>288</v>
      </c>
      <c r="D35" s="12" t="s">
        <v>55</v>
      </c>
      <c r="E35" s="97">
        <v>1</v>
      </c>
      <c r="F35" s="99"/>
      <c r="G35" s="14">
        <v>1.8</v>
      </c>
      <c r="H35" s="14" t="s">
        <v>289</v>
      </c>
      <c r="I35" s="14">
        <f>2*(2.1+1.5)</f>
        <v>7.2</v>
      </c>
      <c r="J35" s="14"/>
      <c r="K35" s="15">
        <f>PRODUCT(E35:J35)</f>
        <v>12.96</v>
      </c>
      <c r="L35" s="16"/>
    </row>
    <row r="36" spans="1:12" s="62" customFormat="1" ht="12.75" customHeight="1">
      <c r="A36" s="117"/>
      <c r="B36" s="34"/>
      <c r="C36" s="81" t="s">
        <v>290</v>
      </c>
      <c r="D36" s="13" t="s">
        <v>55</v>
      </c>
      <c r="E36" s="13">
        <v>1</v>
      </c>
      <c r="F36" s="12"/>
      <c r="G36" s="14">
        <v>1.8</v>
      </c>
      <c r="H36" s="14" t="s">
        <v>289</v>
      </c>
      <c r="I36" s="14">
        <f>2*(1.8+1.2)</f>
        <v>6</v>
      </c>
      <c r="J36" s="14"/>
      <c r="K36" s="15">
        <f>PRODUCT(E36:J36)</f>
        <v>10.8</v>
      </c>
      <c r="L36" s="16"/>
    </row>
    <row r="37" spans="1:12" s="62" customFormat="1" ht="12.75" customHeight="1">
      <c r="A37" s="187">
        <f>+A34+0.00000001</f>
        <v>1.1603040599999992</v>
      </c>
      <c r="B37" s="34" t="s">
        <v>291</v>
      </c>
      <c r="C37" s="81"/>
      <c r="D37" s="12" t="s">
        <v>68</v>
      </c>
      <c r="E37" s="97"/>
      <c r="F37" s="99"/>
      <c r="G37" s="14"/>
      <c r="H37" s="14"/>
      <c r="I37" s="14"/>
      <c r="J37" s="14"/>
      <c r="K37" s="16">
        <f>SUM(K38:K38)</f>
        <v>161.28000000000003</v>
      </c>
      <c r="L37" s="16">
        <f>K37</f>
        <v>161.28000000000003</v>
      </c>
    </row>
    <row r="38" spans="1:12" s="62" customFormat="1" ht="12.75" customHeight="1">
      <c r="A38" s="117"/>
      <c r="B38" s="34"/>
      <c r="C38" s="81" t="s">
        <v>283</v>
      </c>
      <c r="D38" s="12" t="s">
        <v>68</v>
      </c>
      <c r="E38" s="13" t="s">
        <v>49</v>
      </c>
      <c r="F38" s="18"/>
      <c r="G38" s="14" t="s">
        <v>49</v>
      </c>
      <c r="H38" s="14" t="s">
        <v>49</v>
      </c>
      <c r="I38" s="14" t="s">
        <v>49</v>
      </c>
      <c r="J38" s="102"/>
      <c r="K38" s="15">
        <f>+'6.acero'!O147</f>
        <v>161.28000000000003</v>
      </c>
      <c r="L38" s="16"/>
    </row>
    <row r="39" spans="1:12" s="62" customFormat="1" ht="12.75" customHeight="1">
      <c r="A39" s="187">
        <f>+A37+0.00000001</f>
        <v>1.1603040699999991</v>
      </c>
      <c r="B39" s="34" t="s">
        <v>292</v>
      </c>
      <c r="C39" s="81"/>
      <c r="D39" s="12" t="s">
        <v>36</v>
      </c>
      <c r="E39" s="13"/>
      <c r="F39" s="12"/>
      <c r="G39" s="14"/>
      <c r="H39" s="14"/>
      <c r="I39" s="14"/>
      <c r="J39" s="14"/>
      <c r="K39" s="16">
        <f>SUM(K40:K41)</f>
        <v>0.72600000000000009</v>
      </c>
      <c r="L39" s="16">
        <f>K39</f>
        <v>0.72600000000000009</v>
      </c>
    </row>
    <row r="40" spans="1:12" s="62" customFormat="1" ht="12.75" customHeight="1">
      <c r="A40" s="117"/>
      <c r="B40" s="34"/>
      <c r="C40" s="81" t="s">
        <v>293</v>
      </c>
      <c r="D40" s="12"/>
      <c r="E40" s="13">
        <v>1</v>
      </c>
      <c r="F40" s="12"/>
      <c r="G40" s="14">
        <v>0.2</v>
      </c>
      <c r="H40" s="14">
        <f>+H26</f>
        <v>2.1</v>
      </c>
      <c r="I40" s="14">
        <f>+I26</f>
        <v>1.5</v>
      </c>
      <c r="J40" s="14"/>
      <c r="K40" s="15">
        <f>PRODUCT(E40:J40)</f>
        <v>0.63000000000000012</v>
      </c>
      <c r="L40" s="16"/>
    </row>
    <row r="41" spans="1:12" s="62" customFormat="1" ht="12.75" customHeight="1">
      <c r="A41" s="118"/>
      <c r="B41" s="34"/>
      <c r="C41" s="81" t="s">
        <v>294</v>
      </c>
      <c r="D41" s="12"/>
      <c r="E41" s="12">
        <v>1</v>
      </c>
      <c r="F41" s="12"/>
      <c r="G41" s="18">
        <v>0.4</v>
      </c>
      <c r="H41" s="18">
        <v>2.4</v>
      </c>
      <c r="I41" s="14">
        <v>0.1</v>
      </c>
      <c r="J41" s="18"/>
      <c r="K41" s="15">
        <f>PRODUCT(E41:J41)</f>
        <v>9.6000000000000002E-2</v>
      </c>
      <c r="L41" s="37"/>
    </row>
    <row r="42" spans="1:12" s="62" customFormat="1" ht="12.75" customHeight="1">
      <c r="A42" s="187">
        <f>+A39+0.00000001</f>
        <v>1.1603040799999991</v>
      </c>
      <c r="B42" s="34" t="s">
        <v>295</v>
      </c>
      <c r="C42" s="81"/>
      <c r="D42" s="12" t="s">
        <v>55</v>
      </c>
      <c r="E42" s="12"/>
      <c r="F42" s="12"/>
      <c r="G42" s="14"/>
      <c r="H42" s="14"/>
      <c r="I42" s="14"/>
      <c r="J42" s="18"/>
      <c r="K42" s="16">
        <f>SUM(K43:K45)</f>
        <v>5.5200000000000005</v>
      </c>
      <c r="L42" s="16">
        <f>K42</f>
        <v>5.5200000000000005</v>
      </c>
    </row>
    <row r="43" spans="1:12" s="62" customFormat="1" ht="12.75" customHeight="1">
      <c r="A43" s="117"/>
      <c r="B43" s="34"/>
      <c r="C43" s="81" t="s">
        <v>169</v>
      </c>
      <c r="D43" s="12"/>
      <c r="E43" s="12">
        <v>1</v>
      </c>
      <c r="F43" s="12"/>
      <c r="G43" s="12" t="s">
        <v>49</v>
      </c>
      <c r="H43" s="18">
        <f>+H40-0.3</f>
        <v>1.8</v>
      </c>
      <c r="I43" s="14">
        <f>+I40-0.3</f>
        <v>1.2</v>
      </c>
      <c r="J43" s="18"/>
      <c r="K43" s="15">
        <f>PRODUCT(E43:J43)</f>
        <v>2.16</v>
      </c>
      <c r="L43" s="37"/>
    </row>
    <row r="44" spans="1:12" s="62" customFormat="1" ht="12.75" customHeight="1">
      <c r="A44" s="117"/>
      <c r="B44" s="34"/>
      <c r="C44" s="81" t="s">
        <v>296</v>
      </c>
      <c r="D44" s="12"/>
      <c r="E44" s="12">
        <v>1</v>
      </c>
      <c r="F44" s="12"/>
      <c r="G44" s="14">
        <v>0.2</v>
      </c>
      <c r="H44" s="14" t="s">
        <v>289</v>
      </c>
      <c r="I44" s="14">
        <f>2*(H40+I40)</f>
        <v>7.2</v>
      </c>
      <c r="J44" s="18"/>
      <c r="K44" s="15">
        <f>PRODUCT(E44:J44)</f>
        <v>1.4400000000000002</v>
      </c>
      <c r="L44" s="15"/>
    </row>
    <row r="45" spans="1:12" s="62" customFormat="1" ht="12.75" customHeight="1">
      <c r="A45" s="116"/>
      <c r="B45" s="34"/>
      <c r="C45" s="81" t="s">
        <v>297</v>
      </c>
      <c r="D45" s="12"/>
      <c r="E45" s="12">
        <v>2</v>
      </c>
      <c r="F45" s="12"/>
      <c r="G45" s="14">
        <v>0.4</v>
      </c>
      <c r="H45" s="14">
        <f>+H41</f>
        <v>2.4</v>
      </c>
      <c r="I45" s="14" t="s">
        <v>49</v>
      </c>
      <c r="J45" s="18"/>
      <c r="K45" s="15">
        <f>PRODUCT(E45:J45)</f>
        <v>1.92</v>
      </c>
      <c r="L45" s="15"/>
    </row>
    <row r="46" spans="1:12" s="62" customFormat="1" ht="12.75" customHeight="1">
      <c r="A46" s="187">
        <f>+A42+0.00000001</f>
        <v>1.160304089999999</v>
      </c>
      <c r="B46" s="34" t="s">
        <v>298</v>
      </c>
      <c r="C46" s="81"/>
      <c r="D46" s="12" t="s">
        <v>68</v>
      </c>
      <c r="E46" s="12"/>
      <c r="F46" s="12"/>
      <c r="G46" s="18"/>
      <c r="H46" s="18"/>
      <c r="I46" s="12"/>
      <c r="J46" s="18"/>
      <c r="K46" s="16">
        <f>+K47</f>
        <v>52.528000000000006</v>
      </c>
      <c r="L46" s="16">
        <f>K46</f>
        <v>52.528000000000006</v>
      </c>
    </row>
    <row r="47" spans="1:12" s="62" customFormat="1" ht="12.75" customHeight="1">
      <c r="A47" s="119"/>
      <c r="B47" s="82"/>
      <c r="C47" s="83" t="s">
        <v>283</v>
      </c>
      <c r="D47" s="84"/>
      <c r="E47" s="84" t="s">
        <v>49</v>
      </c>
      <c r="F47" s="84"/>
      <c r="G47" s="86" t="s">
        <v>49</v>
      </c>
      <c r="H47" s="86" t="s">
        <v>49</v>
      </c>
      <c r="I47" s="86" t="s">
        <v>49</v>
      </c>
      <c r="J47" s="100"/>
      <c r="K47" s="95">
        <f>+'6.acero'!O152</f>
        <v>52.528000000000006</v>
      </c>
      <c r="L47" s="87"/>
    </row>
    <row r="48" spans="1:12" s="62" customFormat="1" ht="12.75" customHeight="1">
      <c r="A48" s="188">
        <f>+A24+0.000001</f>
        <v>1.1603049999999995</v>
      </c>
      <c r="B48" s="78" t="s">
        <v>97</v>
      </c>
      <c r="C48" s="79"/>
      <c r="D48" s="30"/>
      <c r="E48" s="93"/>
      <c r="F48" s="130"/>
      <c r="G48" s="93"/>
      <c r="H48" s="93"/>
      <c r="I48" s="93"/>
      <c r="J48" s="93"/>
      <c r="K48" s="113"/>
      <c r="L48" s="94"/>
    </row>
    <row r="49" spans="1:12" s="62" customFormat="1" ht="12.75" customHeight="1">
      <c r="A49" s="187">
        <f>+A48+0.00000001</f>
        <v>1.1603050099999994</v>
      </c>
      <c r="B49" s="108" t="s">
        <v>299</v>
      </c>
      <c r="C49" s="101"/>
      <c r="D49" s="6" t="s">
        <v>55</v>
      </c>
      <c r="E49" s="122"/>
      <c r="F49" s="99"/>
      <c r="G49" s="14"/>
      <c r="H49" s="14"/>
      <c r="I49" s="14"/>
      <c r="J49" s="14"/>
      <c r="K49" s="16">
        <f>SUM(K50:K53)</f>
        <v>16.080000000000002</v>
      </c>
      <c r="L49" s="16">
        <f>K49</f>
        <v>16.080000000000002</v>
      </c>
    </row>
    <row r="50" spans="1:12" s="62" customFormat="1" ht="12.75" customHeight="1">
      <c r="A50" s="117"/>
      <c r="B50" s="34"/>
      <c r="C50" s="81" t="s">
        <v>65</v>
      </c>
      <c r="D50" s="13"/>
      <c r="E50" s="131">
        <v>1</v>
      </c>
      <c r="F50" s="12"/>
      <c r="G50" s="14" t="s">
        <v>49</v>
      </c>
      <c r="H50" s="14">
        <f>+H26-0.3</f>
        <v>1.8</v>
      </c>
      <c r="I50" s="14">
        <f>+I26-0.3</f>
        <v>1.2</v>
      </c>
      <c r="J50" s="14"/>
      <c r="K50" s="15">
        <f>PRODUCT(E50:J50)</f>
        <v>2.16</v>
      </c>
      <c r="L50" s="16"/>
    </row>
    <row r="51" spans="1:12" s="62" customFormat="1" ht="12.75" customHeight="1">
      <c r="A51" s="117"/>
      <c r="B51" s="34"/>
      <c r="C51" s="81" t="s">
        <v>290</v>
      </c>
      <c r="D51" s="12"/>
      <c r="E51" s="131">
        <v>1</v>
      </c>
      <c r="F51" s="18"/>
      <c r="G51" s="14">
        <f>+G32</f>
        <v>1.8</v>
      </c>
      <c r="H51" s="14" t="s">
        <v>157</v>
      </c>
      <c r="I51" s="14">
        <f>2*(H50+I50)</f>
        <v>6</v>
      </c>
      <c r="J51" s="102"/>
      <c r="K51" s="15">
        <f>PRODUCT(E51:J51)</f>
        <v>10.8</v>
      </c>
      <c r="L51" s="16"/>
    </row>
    <row r="52" spans="1:12" s="62" customFormat="1" ht="12.75" customHeight="1">
      <c r="A52" s="117"/>
      <c r="B52" s="34"/>
      <c r="C52" s="81" t="s">
        <v>96</v>
      </c>
      <c r="D52" s="12"/>
      <c r="E52" s="131">
        <v>1</v>
      </c>
      <c r="F52" s="12"/>
      <c r="G52" s="14" t="s">
        <v>49</v>
      </c>
      <c r="H52" s="14">
        <f>+H50</f>
        <v>1.8</v>
      </c>
      <c r="I52" s="14">
        <f>+I50</f>
        <v>1.2</v>
      </c>
      <c r="J52" s="14"/>
      <c r="K52" s="15">
        <f>PRODUCT(E52:J52)</f>
        <v>2.16</v>
      </c>
      <c r="L52" s="16"/>
    </row>
    <row r="53" spans="1:12" s="62" customFormat="1" ht="12.75" customHeight="1">
      <c r="A53" s="117"/>
      <c r="B53" s="34"/>
      <c r="C53" s="81" t="s">
        <v>300</v>
      </c>
      <c r="D53" s="12"/>
      <c r="E53" s="131">
        <v>1</v>
      </c>
      <c r="F53" s="12"/>
      <c r="G53" s="14">
        <v>0.4</v>
      </c>
      <c r="H53" s="14">
        <f>+H45</f>
        <v>2.4</v>
      </c>
      <c r="I53" s="14" t="s">
        <v>49</v>
      </c>
      <c r="J53" s="14"/>
      <c r="K53" s="15">
        <f>PRODUCT(E53:J53)</f>
        <v>0.96</v>
      </c>
      <c r="L53" s="16"/>
    </row>
    <row r="54" spans="1:12" s="62" customFormat="1" ht="12.75" customHeight="1">
      <c r="A54" s="187">
        <f>+A49+0.00000001</f>
        <v>1.1603050199999994</v>
      </c>
      <c r="B54" s="34" t="s">
        <v>301</v>
      </c>
      <c r="C54" s="90"/>
      <c r="D54" s="12" t="s">
        <v>55</v>
      </c>
      <c r="E54" s="122"/>
      <c r="F54" s="99"/>
      <c r="G54" s="14"/>
      <c r="H54" s="14"/>
      <c r="I54" s="14"/>
      <c r="J54" s="14"/>
      <c r="K54" s="16">
        <f>SUM(K55)</f>
        <v>16.080000000000002</v>
      </c>
      <c r="L54" s="16">
        <f>K54</f>
        <v>16.080000000000002</v>
      </c>
    </row>
    <row r="55" spans="1:12" s="62" customFormat="1" ht="12.75" customHeight="1">
      <c r="A55" s="117"/>
      <c r="B55" s="34"/>
      <c r="C55" s="81" t="s">
        <v>302</v>
      </c>
      <c r="D55" s="13"/>
      <c r="E55" s="131">
        <v>1</v>
      </c>
      <c r="F55" s="12"/>
      <c r="G55" s="14"/>
      <c r="H55" s="14"/>
      <c r="I55" s="14"/>
      <c r="J55" s="14"/>
      <c r="K55" s="15">
        <f>+K49</f>
        <v>16.080000000000002</v>
      </c>
      <c r="L55" s="16"/>
    </row>
    <row r="56" spans="1:12" s="62" customFormat="1" ht="12.75" customHeight="1">
      <c r="A56" s="187">
        <f>+A54+0.00000001</f>
        <v>1.1603050299999993</v>
      </c>
      <c r="B56" s="34" t="s">
        <v>303</v>
      </c>
      <c r="C56" s="90"/>
      <c r="D56" s="12" t="s">
        <v>55</v>
      </c>
      <c r="E56" s="122"/>
      <c r="F56" s="99"/>
      <c r="G56" s="14"/>
      <c r="H56" s="14"/>
      <c r="I56" s="14"/>
      <c r="J56" s="14"/>
      <c r="K56" s="16">
        <f>SUM(K57)</f>
        <v>16.080000000000002</v>
      </c>
      <c r="L56" s="16">
        <f>K56</f>
        <v>16.080000000000002</v>
      </c>
    </row>
    <row r="57" spans="1:12" s="62" customFormat="1" ht="12.75" customHeight="1">
      <c r="A57" s="117"/>
      <c r="B57" s="34"/>
      <c r="C57" s="81" t="s">
        <v>302</v>
      </c>
      <c r="D57" s="13"/>
      <c r="E57" s="131">
        <v>1</v>
      </c>
      <c r="F57" s="12"/>
      <c r="G57" s="14"/>
      <c r="H57" s="14"/>
      <c r="I57" s="14"/>
      <c r="J57" s="14"/>
      <c r="K57" s="15">
        <f>+K55</f>
        <v>16.080000000000002</v>
      </c>
      <c r="L57" s="16"/>
    </row>
    <row r="58" spans="1:12" s="62" customFormat="1" ht="12.75" customHeight="1">
      <c r="A58" s="187">
        <f>+A56+0.00000001</f>
        <v>1.1603050399999992</v>
      </c>
      <c r="B58" s="34" t="s">
        <v>304</v>
      </c>
      <c r="C58" s="90"/>
      <c r="D58" s="12" t="s">
        <v>48</v>
      </c>
      <c r="E58" s="35"/>
      <c r="F58" s="103"/>
      <c r="G58" s="103"/>
      <c r="H58" s="103"/>
      <c r="I58" s="103"/>
      <c r="J58" s="103"/>
      <c r="K58" s="16">
        <f>SUM(K59:K59)</f>
        <v>1</v>
      </c>
      <c r="L58" s="16">
        <f>K58</f>
        <v>1</v>
      </c>
    </row>
    <row r="59" spans="1:12" s="62" customFormat="1" ht="12.75" customHeight="1">
      <c r="A59" s="128"/>
      <c r="B59" s="34"/>
      <c r="C59" s="81" t="s">
        <v>305</v>
      </c>
      <c r="D59" s="12"/>
      <c r="E59" s="35">
        <v>1</v>
      </c>
      <c r="F59" s="103"/>
      <c r="G59" s="12" t="s">
        <v>49</v>
      </c>
      <c r="H59" s="12" t="s">
        <v>49</v>
      </c>
      <c r="I59" s="12" t="s">
        <v>49</v>
      </c>
      <c r="J59" s="103"/>
      <c r="K59" s="15">
        <f>PRODUCT(E59:J59)</f>
        <v>1</v>
      </c>
      <c r="L59" s="16"/>
    </row>
    <row r="60" spans="1:12" s="62" customFormat="1" ht="12.75" customHeight="1">
      <c r="A60" s="187">
        <f>+A58+0.00000001</f>
        <v>1.1603050499999992</v>
      </c>
      <c r="B60" s="34" t="s">
        <v>101</v>
      </c>
      <c r="C60" s="90"/>
      <c r="D60" s="12" t="s">
        <v>48</v>
      </c>
      <c r="E60" s="122"/>
      <c r="F60" s="97"/>
      <c r="G60" s="14"/>
      <c r="H60" s="14"/>
      <c r="I60" s="14"/>
      <c r="J60" s="14"/>
      <c r="K60" s="16">
        <f>ROUND(SUM(K61:K61),0)</f>
        <v>1</v>
      </c>
      <c r="L60" s="16">
        <f>K60</f>
        <v>1</v>
      </c>
    </row>
    <row r="61" spans="1:12" s="62" customFormat="1" ht="12.75" customHeight="1">
      <c r="A61" s="129"/>
      <c r="B61" s="82"/>
      <c r="C61" s="105"/>
      <c r="D61" s="84"/>
      <c r="E61" s="132">
        <f>+L25+L31+L39</f>
        <v>3.1379999999999999</v>
      </c>
      <c r="F61" s="104">
        <v>3</v>
      </c>
      <c r="G61" s="84" t="s">
        <v>49</v>
      </c>
      <c r="H61" s="84" t="s">
        <v>49</v>
      </c>
      <c r="I61" s="84" t="s">
        <v>49</v>
      </c>
      <c r="J61" s="104"/>
      <c r="K61" s="95">
        <f>+E61/F61</f>
        <v>1.046</v>
      </c>
      <c r="L61" s="87"/>
    </row>
    <row r="62" spans="1:12" ht="12.75" customHeight="1">
      <c r="A62" s="10"/>
      <c r="B62" s="10"/>
      <c r="C62" s="10"/>
      <c r="D62" s="21"/>
      <c r="E62" s="66"/>
      <c r="F62" s="10"/>
      <c r="G62" s="21"/>
      <c r="H62" s="21"/>
      <c r="I62" s="21"/>
      <c r="J62" s="10"/>
      <c r="K62" s="67"/>
      <c r="L62" s="68"/>
    </row>
  </sheetData>
  <mergeCells count="8">
    <mergeCell ref="A1:L1"/>
    <mergeCell ref="B2:L2"/>
    <mergeCell ref="A6:A7"/>
    <mergeCell ref="B6:C7"/>
    <mergeCell ref="D6:D7"/>
    <mergeCell ref="F6:J6"/>
    <mergeCell ref="K6:K7"/>
    <mergeCell ref="L6:L7"/>
  </mergeCells>
  <printOptions horizontalCentered="1" gridLines="1"/>
  <pageMargins left="0.59055118110236227" right="0.59055118110236227" top="0.98425196850393704" bottom="0.59055118110236227" header="0.51181102362204722" footer="0.51181102362204722"/>
  <pageSetup paperSize="9" scale="80" orientation="landscape" horizontalDpi="200" verticalDpi="200" r:id="rId1"/>
  <headerFooter alignWithMargins="0">
    <oddHeader>&amp;C&amp;14PLANILLA DE METRADOS DE RESERVORIOS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FEAB23-0EB7-4D9A-B93B-5522F1E24B02}">
  <sheetPr>
    <tabColor theme="3" tint="0.39997558519241921"/>
  </sheetPr>
  <dimension ref="A1:L46"/>
  <sheetViews>
    <sheetView view="pageBreakPreview" zoomScaleNormal="85" zoomScaleSheetLayoutView="100" workbookViewId="0"/>
  </sheetViews>
  <sheetFormatPr defaultColWidth="11.42578125" defaultRowHeight="12.75" customHeight="1"/>
  <cols>
    <col min="1" max="1" width="13.42578125" style="22" customWidth="1"/>
    <col min="2" max="3" width="27.85546875" style="22" customWidth="1"/>
    <col min="4" max="4" width="8" style="22" customWidth="1"/>
    <col min="5" max="5" width="7.28515625" style="22" customWidth="1"/>
    <col min="6" max="10" width="9.28515625" style="22" customWidth="1"/>
    <col min="11" max="12" width="10.42578125" style="36" customWidth="1"/>
    <col min="13" max="13" width="8" style="4" customWidth="1"/>
    <col min="14" max="16384" width="11.42578125" style="4"/>
  </cols>
  <sheetData>
    <row r="1" spans="1:12" ht="18.75" customHeight="1">
      <c r="A1" s="332" t="s">
        <v>16</v>
      </c>
      <c r="B1" s="333"/>
      <c r="C1" s="333"/>
      <c r="D1" s="333"/>
      <c r="E1" s="333"/>
      <c r="F1" s="333"/>
      <c r="G1" s="333"/>
      <c r="H1" s="333"/>
      <c r="I1" s="333"/>
      <c r="J1" s="333"/>
      <c r="K1" s="333"/>
      <c r="L1" s="334"/>
    </row>
    <row r="2" spans="1:12" ht="12.75" customHeight="1">
      <c r="A2" s="219" t="s">
        <v>17</v>
      </c>
      <c r="B2" s="335" t="str">
        <f>+Resumen!B2</f>
        <v>ESTUDIO DEFINITIVO Y EXPEDIENTE TECNICO: AMPLIACION Y MEJORAMIENTO DE LOS SISTEMAS DE AGUA POTABLE Y ALCANTARILLADO DEL ESQUEMA PUCUSANA.</v>
      </c>
      <c r="C2" s="335"/>
      <c r="D2" s="335"/>
      <c r="E2" s="335"/>
      <c r="F2" s="335"/>
      <c r="G2" s="335"/>
      <c r="H2" s="335"/>
      <c r="I2" s="335"/>
      <c r="J2" s="335"/>
      <c r="K2" s="335"/>
      <c r="L2" s="336"/>
    </row>
    <row r="3" spans="1:12" ht="12.75" customHeight="1">
      <c r="A3" s="220" t="s">
        <v>5</v>
      </c>
      <c r="B3" s="207" t="s">
        <v>6</v>
      </c>
      <c r="C3" s="208"/>
      <c r="D3" s="209"/>
      <c r="E3" s="210"/>
      <c r="F3" s="208"/>
      <c r="G3" s="208"/>
      <c r="H3" s="208"/>
      <c r="I3" s="208"/>
      <c r="J3" s="208"/>
      <c r="K3" s="212"/>
      <c r="L3" s="221"/>
    </row>
    <row r="4" spans="1:12" ht="12.75" customHeight="1">
      <c r="A4" s="220" t="s">
        <v>7</v>
      </c>
      <c r="B4" s="207" t="s">
        <v>263</v>
      </c>
      <c r="C4" s="208"/>
      <c r="D4" s="209"/>
      <c r="E4" s="210"/>
      <c r="F4" s="208"/>
      <c r="G4" s="208"/>
      <c r="H4" s="208"/>
      <c r="I4" s="208"/>
      <c r="J4" s="208"/>
      <c r="K4" s="212"/>
      <c r="L4" s="221"/>
    </row>
    <row r="5" spans="1:12" ht="12.75" customHeight="1">
      <c r="A5" s="222" t="s">
        <v>11</v>
      </c>
      <c r="B5" s="213" t="s">
        <v>18</v>
      </c>
      <c r="C5" s="214"/>
      <c r="D5" s="215"/>
      <c r="E5" s="216"/>
      <c r="F5" s="214"/>
      <c r="G5" s="214"/>
      <c r="H5" s="214"/>
      <c r="I5" s="214"/>
      <c r="J5" s="214"/>
      <c r="K5" s="218"/>
      <c r="L5" s="223"/>
    </row>
    <row r="6" spans="1:12" ht="12.75" customHeight="1">
      <c r="A6" s="337" t="s">
        <v>19</v>
      </c>
      <c r="B6" s="337" t="s">
        <v>20</v>
      </c>
      <c r="C6" s="337"/>
      <c r="D6" s="337" t="s">
        <v>21</v>
      </c>
      <c r="E6" s="324" t="s">
        <v>22</v>
      </c>
      <c r="F6" s="337" t="s">
        <v>23</v>
      </c>
      <c r="G6" s="337"/>
      <c r="H6" s="337"/>
      <c r="I6" s="337"/>
      <c r="J6" s="337"/>
      <c r="K6" s="339" t="s">
        <v>24</v>
      </c>
      <c r="L6" s="339" t="s">
        <v>25</v>
      </c>
    </row>
    <row r="7" spans="1:12" ht="12.75" customHeight="1">
      <c r="A7" s="338"/>
      <c r="B7" s="338"/>
      <c r="C7" s="338"/>
      <c r="D7" s="338"/>
      <c r="E7" s="325" t="s">
        <v>26</v>
      </c>
      <c r="F7" s="325" t="s">
        <v>27</v>
      </c>
      <c r="G7" s="325" t="s">
        <v>28</v>
      </c>
      <c r="H7" s="325" t="s">
        <v>29</v>
      </c>
      <c r="I7" s="325" t="s">
        <v>30</v>
      </c>
      <c r="J7" s="325" t="s">
        <v>31</v>
      </c>
      <c r="K7" s="340"/>
      <c r="L7" s="340"/>
    </row>
    <row r="8" spans="1:12" s="62" customFormat="1" ht="12.75" customHeight="1">
      <c r="A8" s="186">
        <f>+'3.cisterna'!A8+0.0001</f>
        <v>1.1603999999999999</v>
      </c>
      <c r="B8" s="259" t="s">
        <v>306</v>
      </c>
      <c r="C8" s="260"/>
      <c r="D8" s="30"/>
      <c r="E8" s="30"/>
      <c r="F8" s="30"/>
      <c r="G8" s="30"/>
      <c r="H8" s="30"/>
      <c r="I8" s="30"/>
      <c r="J8" s="30"/>
      <c r="K8" s="31"/>
      <c r="L8" s="31"/>
    </row>
    <row r="9" spans="1:12" s="62" customFormat="1" ht="12.75" customHeight="1">
      <c r="A9" s="188">
        <f>+A8+0.000001</f>
        <v>1.1604009999999998</v>
      </c>
      <c r="B9" s="235" t="s">
        <v>46</v>
      </c>
      <c r="C9" s="237"/>
      <c r="D9" s="6"/>
      <c r="E9" s="7"/>
      <c r="F9" s="8"/>
      <c r="G9" s="8"/>
      <c r="H9" s="8"/>
      <c r="I9" s="8"/>
      <c r="J9" s="8"/>
      <c r="K9" s="9"/>
      <c r="L9" s="20"/>
    </row>
    <row r="10" spans="1:12" s="62" customFormat="1" ht="12.75" customHeight="1">
      <c r="A10" s="187">
        <f>+A9+0.00000001</f>
        <v>1.1604010099999997</v>
      </c>
      <c r="B10" s="238" t="s">
        <v>307</v>
      </c>
      <c r="C10" s="239"/>
      <c r="D10" s="12" t="s">
        <v>55</v>
      </c>
      <c r="E10" s="13"/>
      <c r="F10" s="12"/>
      <c r="G10" s="14"/>
      <c r="H10" s="14"/>
      <c r="I10" s="14"/>
      <c r="J10" s="14"/>
      <c r="K10" s="16">
        <f>+SUM(K11)</f>
        <v>39.748000000000005</v>
      </c>
      <c r="L10" s="16">
        <f>+K10</f>
        <v>39.748000000000005</v>
      </c>
    </row>
    <row r="11" spans="1:12" s="62" customFormat="1" ht="12.75" customHeight="1">
      <c r="A11" s="117"/>
      <c r="B11" s="238"/>
      <c r="C11" s="239" t="s">
        <v>266</v>
      </c>
      <c r="D11" s="12"/>
      <c r="E11" s="13">
        <v>1</v>
      </c>
      <c r="F11" s="12"/>
      <c r="G11" s="14" t="s">
        <v>49</v>
      </c>
      <c r="H11" s="14">
        <v>20.92</v>
      </c>
      <c r="I11" s="14">
        <v>1.9</v>
      </c>
      <c r="J11" s="14"/>
      <c r="K11" s="16">
        <f>+PRODUCT(E11:J11)</f>
        <v>39.748000000000005</v>
      </c>
      <c r="L11" s="16"/>
    </row>
    <row r="12" spans="1:12" s="62" customFormat="1" ht="12.75" customHeight="1">
      <c r="A12" s="187">
        <f>+A10+0.00000001</f>
        <v>1.1604010199999997</v>
      </c>
      <c r="B12" s="238" t="s">
        <v>308</v>
      </c>
      <c r="C12" s="239"/>
      <c r="D12" s="12" t="s">
        <v>55</v>
      </c>
      <c r="E12" s="13"/>
      <c r="F12" s="18"/>
      <c r="G12" s="18"/>
      <c r="H12" s="18"/>
      <c r="I12" s="18"/>
      <c r="J12" s="18"/>
      <c r="K12" s="16">
        <f>+SUM(K13)</f>
        <v>39.748000000000005</v>
      </c>
      <c r="L12" s="16">
        <f>+K12</f>
        <v>39.748000000000005</v>
      </c>
    </row>
    <row r="13" spans="1:12" s="62" customFormat="1" ht="12.75" customHeight="1">
      <c r="A13" s="119"/>
      <c r="B13" s="240"/>
      <c r="C13" s="241" t="s">
        <v>268</v>
      </c>
      <c r="D13" s="84"/>
      <c r="E13" s="85">
        <v>1</v>
      </c>
      <c r="F13" s="86"/>
      <c r="G13" s="86" t="s">
        <v>49</v>
      </c>
      <c r="H13" s="86">
        <f>+H11</f>
        <v>20.92</v>
      </c>
      <c r="I13" s="86">
        <f>+I11</f>
        <v>1.9</v>
      </c>
      <c r="J13" s="86"/>
      <c r="K13" s="16">
        <f>+PRODUCT(E13:J13)</f>
        <v>39.748000000000005</v>
      </c>
      <c r="L13" s="87">
        <f>K13</f>
        <v>39.748000000000005</v>
      </c>
    </row>
    <row r="14" spans="1:12" s="62" customFormat="1" ht="12.75" customHeight="1">
      <c r="A14" s="188">
        <f>+A9+0.000001</f>
        <v>1.1604019999999997</v>
      </c>
      <c r="B14" s="235" t="s">
        <v>51</v>
      </c>
      <c r="C14" s="237"/>
      <c r="D14" s="6"/>
      <c r="E14" s="7"/>
      <c r="F14" s="6"/>
      <c r="G14" s="88"/>
      <c r="H14" s="88"/>
      <c r="I14" s="88"/>
      <c r="J14" s="88"/>
      <c r="K14" s="9"/>
      <c r="L14" s="89"/>
    </row>
    <row r="15" spans="1:12" s="62" customFormat="1" ht="12.75" customHeight="1">
      <c r="A15" s="187">
        <f>+A14+0.00000001</f>
        <v>1.1604020099999997</v>
      </c>
      <c r="B15" s="238" t="s">
        <v>309</v>
      </c>
      <c r="C15" s="242"/>
      <c r="D15" s="12" t="s">
        <v>36</v>
      </c>
      <c r="E15" s="13"/>
      <c r="F15" s="12"/>
      <c r="G15" s="12"/>
      <c r="H15" s="12"/>
      <c r="I15" s="12"/>
      <c r="J15" s="12"/>
      <c r="K15" s="16">
        <f>SUM(K16:K16)</f>
        <v>55.647199999999998</v>
      </c>
      <c r="L15" s="17">
        <f>+K15</f>
        <v>55.647199999999998</v>
      </c>
    </row>
    <row r="16" spans="1:12" s="62" customFormat="1" ht="12.75" customHeight="1">
      <c r="A16" s="117"/>
      <c r="B16" s="238"/>
      <c r="C16" s="239" t="s">
        <v>310</v>
      </c>
      <c r="D16" s="12"/>
      <c r="E16" s="13">
        <v>1</v>
      </c>
      <c r="F16" s="12"/>
      <c r="G16" s="14">
        <v>1.4</v>
      </c>
      <c r="H16" s="14">
        <f>+H11</f>
        <v>20.92</v>
      </c>
      <c r="I16" s="14">
        <v>1.9</v>
      </c>
      <c r="J16" s="14"/>
      <c r="K16" s="15">
        <f>PRODUCT(E16:J16)</f>
        <v>55.647199999999998</v>
      </c>
      <c r="L16" s="17"/>
    </row>
    <row r="17" spans="1:12" s="62" customFormat="1" ht="12.75" customHeight="1">
      <c r="A17" s="187">
        <f>+A15+0.00000001</f>
        <v>1.1604020199999996</v>
      </c>
      <c r="B17" s="238" t="s">
        <v>311</v>
      </c>
      <c r="C17" s="239"/>
      <c r="D17" s="12" t="s">
        <v>55</v>
      </c>
      <c r="E17" s="13"/>
      <c r="F17" s="12"/>
      <c r="G17" s="14"/>
      <c r="H17" s="14"/>
      <c r="I17" s="14"/>
      <c r="J17" s="14"/>
      <c r="K17" s="16">
        <f>+SUM(K18:K18)</f>
        <v>39.748000000000005</v>
      </c>
      <c r="L17" s="16">
        <f>+K17</f>
        <v>39.748000000000005</v>
      </c>
    </row>
    <row r="18" spans="1:12" s="62" customFormat="1" ht="12.75" customHeight="1">
      <c r="A18" s="117"/>
      <c r="B18" s="238"/>
      <c r="C18" s="239" t="s">
        <v>312</v>
      </c>
      <c r="D18" s="12" t="s">
        <v>55</v>
      </c>
      <c r="E18" s="12">
        <v>1</v>
      </c>
      <c r="F18" s="18"/>
      <c r="G18" s="14" t="s">
        <v>49</v>
      </c>
      <c r="H18" s="14">
        <f>+H16</f>
        <v>20.92</v>
      </c>
      <c r="I18" s="14">
        <f>+I16</f>
        <v>1.9</v>
      </c>
      <c r="J18" s="14"/>
      <c r="K18" s="15">
        <f>+PRODUCT(E18:J18)</f>
        <v>39.748000000000005</v>
      </c>
      <c r="L18" s="16"/>
    </row>
    <row r="19" spans="1:12" s="62" customFormat="1" ht="12.75" customHeight="1">
      <c r="A19" s="187">
        <f>+A17+0.00000001</f>
        <v>1.1604020299999995</v>
      </c>
      <c r="B19" s="238" t="s">
        <v>120</v>
      </c>
      <c r="C19" s="239"/>
      <c r="D19" s="12" t="s">
        <v>36</v>
      </c>
      <c r="E19" s="12"/>
      <c r="F19" s="12"/>
      <c r="G19" s="12"/>
      <c r="H19" s="12"/>
      <c r="I19" s="12"/>
      <c r="J19" s="18"/>
      <c r="K19" s="16">
        <f>+SUM(K20)</f>
        <v>19.037200000000002</v>
      </c>
      <c r="L19" s="16">
        <f>+K19</f>
        <v>19.037200000000002</v>
      </c>
    </row>
    <row r="20" spans="1:12" s="62" customFormat="1" ht="12.75" customHeight="1">
      <c r="A20" s="118"/>
      <c r="B20" s="261"/>
      <c r="C20" s="239" t="s">
        <v>313</v>
      </c>
      <c r="D20" s="12" t="s">
        <v>36</v>
      </c>
      <c r="E20" s="12">
        <v>1</v>
      </c>
      <c r="F20" s="12">
        <v>1</v>
      </c>
      <c r="G20" s="12">
        <v>1.4</v>
      </c>
      <c r="H20" s="14">
        <f>+H18</f>
        <v>20.92</v>
      </c>
      <c r="I20" s="12">
        <v>0.65</v>
      </c>
      <c r="J20" s="18"/>
      <c r="K20" s="15">
        <f>+PRODUCT(E20:J20)</f>
        <v>19.037200000000002</v>
      </c>
      <c r="L20" s="16"/>
    </row>
    <row r="21" spans="1:12" s="62" customFormat="1" ht="12.75" customHeight="1">
      <c r="A21" s="187">
        <f>+A19+0.00000001</f>
        <v>1.1604020399999995</v>
      </c>
      <c r="B21" s="238" t="s">
        <v>314</v>
      </c>
      <c r="C21" s="239"/>
      <c r="D21" s="12" t="s">
        <v>36</v>
      </c>
      <c r="E21" s="12"/>
      <c r="F21" s="12"/>
      <c r="G21" s="12"/>
      <c r="H21" s="12"/>
      <c r="I21" s="12"/>
      <c r="J21" s="18"/>
      <c r="K21" s="16">
        <f>+SUM(K22:K22)</f>
        <v>60.249600000000001</v>
      </c>
      <c r="L21" s="16">
        <f>+K21</f>
        <v>60.249600000000001</v>
      </c>
    </row>
    <row r="22" spans="1:12" s="62" customFormat="1" ht="12.75" customHeight="1">
      <c r="A22" s="118"/>
      <c r="B22" s="261"/>
      <c r="C22" s="239" t="s">
        <v>313</v>
      </c>
      <c r="D22" s="12" t="s">
        <v>36</v>
      </c>
      <c r="E22" s="12">
        <v>1</v>
      </c>
      <c r="F22" s="12">
        <v>1</v>
      </c>
      <c r="G22" s="12">
        <v>3.2</v>
      </c>
      <c r="H22" s="14">
        <f>+H18</f>
        <v>20.92</v>
      </c>
      <c r="I22" s="12">
        <v>0.9</v>
      </c>
      <c r="J22" s="18"/>
      <c r="K22" s="15">
        <f>+PRODUCT(E22:J22)</f>
        <v>60.249600000000001</v>
      </c>
      <c r="L22" s="16"/>
    </row>
    <row r="23" spans="1:12" s="62" customFormat="1" ht="12.75" customHeight="1">
      <c r="A23" s="187">
        <f>+A21+0.00000001</f>
        <v>1.1604020499999994</v>
      </c>
      <c r="B23" s="238" t="s">
        <v>273</v>
      </c>
      <c r="C23" s="239"/>
      <c r="D23" s="12" t="s">
        <v>36</v>
      </c>
      <c r="E23" s="12"/>
      <c r="F23" s="12"/>
      <c r="G23" s="12"/>
      <c r="H23" s="12"/>
      <c r="I23" s="12"/>
      <c r="J23" s="18"/>
      <c r="K23" s="16">
        <f>+SUM(K24:K24)</f>
        <v>43.931999999999995</v>
      </c>
      <c r="L23" s="16">
        <f>+K23</f>
        <v>43.931999999999995</v>
      </c>
    </row>
    <row r="24" spans="1:12" s="62" customFormat="1" ht="12.75" customHeight="1">
      <c r="A24" s="118"/>
      <c r="B24" s="261"/>
      <c r="C24" s="239" t="s">
        <v>274</v>
      </c>
      <c r="D24" s="12" t="s">
        <v>36</v>
      </c>
      <c r="E24" s="12">
        <v>1</v>
      </c>
      <c r="F24" s="12">
        <v>1.2</v>
      </c>
      <c r="G24" s="12" t="s">
        <v>49</v>
      </c>
      <c r="H24" s="12"/>
      <c r="I24" s="12" t="s">
        <v>59</v>
      </c>
      <c r="J24" s="18">
        <f>+L15-L19</f>
        <v>36.61</v>
      </c>
      <c r="K24" s="15">
        <f>+PRODUCT(E24:J24)</f>
        <v>43.931999999999995</v>
      </c>
      <c r="L24" s="16"/>
    </row>
    <row r="25" spans="1:12" s="62" customFormat="1" ht="12.75" customHeight="1">
      <c r="A25" s="185">
        <f>+A14+0.000001</f>
        <v>1.1604029999999996</v>
      </c>
      <c r="B25" s="259" t="s">
        <v>275</v>
      </c>
      <c r="C25" s="260"/>
      <c r="D25" s="92"/>
      <c r="E25" s="92"/>
      <c r="F25" s="93"/>
      <c r="G25" s="93"/>
      <c r="H25" s="93"/>
      <c r="I25" s="93"/>
      <c r="J25" s="93"/>
      <c r="K25" s="94"/>
      <c r="L25" s="94"/>
    </row>
    <row r="26" spans="1:12" s="62" customFormat="1" ht="12.75" customHeight="1">
      <c r="A26" s="187">
        <f>+A25+0.00000001</f>
        <v>1.1604030099999996</v>
      </c>
      <c r="B26" s="238" t="s">
        <v>276</v>
      </c>
      <c r="C26" s="242"/>
      <c r="D26" s="12" t="s">
        <v>55</v>
      </c>
      <c r="E26" s="13"/>
      <c r="F26" s="14"/>
      <c r="G26" s="14"/>
      <c r="H26" s="14"/>
      <c r="I26" s="14"/>
      <c r="J26" s="14"/>
      <c r="K26" s="16">
        <f>+SUM(K27:K27)</f>
        <v>39.748000000000005</v>
      </c>
      <c r="L26" s="16">
        <f>K26</f>
        <v>39.748000000000005</v>
      </c>
    </row>
    <row r="27" spans="1:12" s="62" customFormat="1" ht="12.75" customHeight="1">
      <c r="A27" s="119"/>
      <c r="B27" s="240"/>
      <c r="C27" s="241" t="s">
        <v>277</v>
      </c>
      <c r="D27" s="84"/>
      <c r="E27" s="85">
        <v>1</v>
      </c>
      <c r="F27" s="84"/>
      <c r="G27" s="86" t="s">
        <v>49</v>
      </c>
      <c r="H27" s="86">
        <f>+H18</f>
        <v>20.92</v>
      </c>
      <c r="I27" s="86">
        <f>+I18</f>
        <v>1.9</v>
      </c>
      <c r="J27" s="86"/>
      <c r="K27" s="95">
        <f>PRODUCT(E27:J27)</f>
        <v>39.748000000000005</v>
      </c>
      <c r="L27" s="87"/>
    </row>
    <row r="28" spans="1:12" s="62" customFormat="1" ht="12.75" customHeight="1">
      <c r="A28" s="185">
        <f>+A25+0.000001</f>
        <v>1.1604039999999995</v>
      </c>
      <c r="B28" s="259" t="s">
        <v>63</v>
      </c>
      <c r="C28" s="262"/>
      <c r="D28" s="30"/>
      <c r="E28" s="92"/>
      <c r="F28" s="30"/>
      <c r="G28" s="93"/>
      <c r="H28" s="93"/>
      <c r="I28" s="93"/>
      <c r="J28" s="93"/>
      <c r="K28" s="94"/>
      <c r="L28" s="94"/>
    </row>
    <row r="29" spans="1:12" s="62" customFormat="1" ht="12.75" customHeight="1">
      <c r="A29" s="187">
        <f>+A28+0.00000001</f>
        <v>1.1604040099999995</v>
      </c>
      <c r="B29" s="238" t="s">
        <v>315</v>
      </c>
      <c r="C29" s="239"/>
      <c r="D29" s="12" t="s">
        <v>36</v>
      </c>
      <c r="E29" s="97"/>
      <c r="F29" s="14"/>
      <c r="G29" s="14"/>
      <c r="H29" s="14"/>
      <c r="I29" s="14"/>
      <c r="J29" s="14"/>
      <c r="K29" s="16">
        <f>SUM(K30)</f>
        <v>17.886600000000001</v>
      </c>
      <c r="L29" s="16">
        <f>K29</f>
        <v>17.886600000000001</v>
      </c>
    </row>
    <row r="30" spans="1:12" s="62" customFormat="1" ht="12.75" customHeight="1">
      <c r="A30" s="117"/>
      <c r="B30" s="263"/>
      <c r="C30" s="239" t="s">
        <v>279</v>
      </c>
      <c r="D30" s="13" t="s">
        <v>36</v>
      </c>
      <c r="E30" s="13">
        <v>1</v>
      </c>
      <c r="F30" s="14"/>
      <c r="G30" s="14">
        <v>0.45</v>
      </c>
      <c r="H30" s="14">
        <f>+H27</f>
        <v>20.92</v>
      </c>
      <c r="I30" s="14">
        <f>+I27</f>
        <v>1.9</v>
      </c>
      <c r="J30" s="14"/>
      <c r="K30" s="15">
        <f>PRODUCT(E30:J30)</f>
        <v>17.886600000000001</v>
      </c>
      <c r="L30" s="16"/>
    </row>
    <row r="31" spans="1:12" s="62" customFormat="1" ht="12.75" customHeight="1">
      <c r="A31" s="187">
        <f>+A29+0.00000001</f>
        <v>1.1604040199999994</v>
      </c>
      <c r="B31" s="238" t="s">
        <v>280</v>
      </c>
      <c r="C31" s="239"/>
      <c r="D31" s="13" t="s">
        <v>55</v>
      </c>
      <c r="E31" s="13"/>
      <c r="F31" s="12"/>
      <c r="G31" s="14"/>
      <c r="H31" s="14"/>
      <c r="I31" s="14"/>
      <c r="J31" s="14"/>
      <c r="K31" s="16">
        <f>SUM(K32)</f>
        <v>20.538</v>
      </c>
      <c r="L31" s="16">
        <f>K31</f>
        <v>20.538</v>
      </c>
    </row>
    <row r="32" spans="1:12" s="62" customFormat="1" ht="12.75" customHeight="1">
      <c r="A32" s="117"/>
      <c r="B32" s="238"/>
      <c r="C32" s="239" t="s">
        <v>281</v>
      </c>
      <c r="D32" s="13" t="s">
        <v>55</v>
      </c>
      <c r="E32" s="13">
        <v>1</v>
      </c>
      <c r="F32" s="12"/>
      <c r="G32" s="14">
        <v>0.45</v>
      </c>
      <c r="H32" s="14">
        <f>2*(H30+I30)</f>
        <v>45.64</v>
      </c>
      <c r="I32" s="14" t="s">
        <v>49</v>
      </c>
      <c r="J32" s="14"/>
      <c r="K32" s="15">
        <f>PRODUCT(E32:J32)</f>
        <v>20.538</v>
      </c>
      <c r="L32" s="16"/>
    </row>
    <row r="33" spans="1:12" s="62" customFormat="1" ht="12.75" customHeight="1">
      <c r="A33" s="187">
        <f>+A31+0.00000001</f>
        <v>1.1604040299999994</v>
      </c>
      <c r="B33" s="238" t="s">
        <v>316</v>
      </c>
      <c r="C33" s="242"/>
      <c r="D33" s="12" t="s">
        <v>68</v>
      </c>
      <c r="E33" s="13"/>
      <c r="F33" s="14"/>
      <c r="G33" s="14"/>
      <c r="H33" s="14"/>
      <c r="I33" s="14"/>
      <c r="J33" s="14"/>
      <c r="K33" s="16">
        <f>+SUM(K34)</f>
        <v>951.6748</v>
      </c>
      <c r="L33" s="16">
        <f>K33</f>
        <v>951.6748</v>
      </c>
    </row>
    <row r="34" spans="1:12" s="62" customFormat="1" ht="12.75" customHeight="1">
      <c r="A34" s="117"/>
      <c r="B34" s="238"/>
      <c r="C34" s="239" t="s">
        <v>283</v>
      </c>
      <c r="D34" s="12" t="s">
        <v>68</v>
      </c>
      <c r="E34" s="13" t="s">
        <v>49</v>
      </c>
      <c r="F34" s="12"/>
      <c r="G34" s="14" t="s">
        <v>49</v>
      </c>
      <c r="H34" s="14" t="s">
        <v>49</v>
      </c>
      <c r="I34" s="14" t="s">
        <v>49</v>
      </c>
      <c r="J34" s="14"/>
      <c r="K34" s="15">
        <f>+'6.acero'!O160</f>
        <v>951.6748</v>
      </c>
      <c r="L34" s="16"/>
    </row>
    <row r="35" spans="1:12" s="62" customFormat="1" ht="12.75" customHeight="1">
      <c r="A35" s="187">
        <f>+A33+0.00000001</f>
        <v>1.1604040399999993</v>
      </c>
      <c r="B35" s="238" t="s">
        <v>317</v>
      </c>
      <c r="C35" s="239"/>
      <c r="D35" s="12" t="s">
        <v>36</v>
      </c>
      <c r="E35" s="13"/>
      <c r="F35" s="12"/>
      <c r="G35" s="14"/>
      <c r="H35" s="14"/>
      <c r="I35" s="14"/>
      <c r="J35" s="14"/>
      <c r="K35" s="16">
        <f>SUM(K36:K37)</f>
        <v>24.267200000000006</v>
      </c>
      <c r="L35" s="16">
        <f>K35</f>
        <v>24.267200000000006</v>
      </c>
    </row>
    <row r="36" spans="1:12" s="62" customFormat="1" ht="12.75" customHeight="1">
      <c r="A36" s="117"/>
      <c r="B36" s="238"/>
      <c r="C36" s="239" t="s">
        <v>318</v>
      </c>
      <c r="D36" s="12" t="s">
        <v>36</v>
      </c>
      <c r="E36" s="13">
        <v>1</v>
      </c>
      <c r="F36" s="12"/>
      <c r="G36" s="14">
        <v>3.2</v>
      </c>
      <c r="H36" s="14">
        <f>+H30</f>
        <v>20.92</v>
      </c>
      <c r="I36" s="14">
        <f>+(0.4+0.2)/2</f>
        <v>0.30000000000000004</v>
      </c>
      <c r="J36" s="14"/>
      <c r="K36" s="15">
        <f>PRODUCT(E36:J36)</f>
        <v>20.083200000000005</v>
      </c>
      <c r="L36" s="16"/>
    </row>
    <row r="37" spans="1:12" s="62" customFormat="1" ht="12.75" customHeight="1">
      <c r="A37" s="117"/>
      <c r="B37" s="238"/>
      <c r="C37" s="239" t="s">
        <v>319</v>
      </c>
      <c r="D37" s="12" t="s">
        <v>36</v>
      </c>
      <c r="E37" s="97">
        <v>1</v>
      </c>
      <c r="F37" s="14"/>
      <c r="G37" s="14">
        <v>1</v>
      </c>
      <c r="H37" s="14">
        <f>+H30</f>
        <v>20.92</v>
      </c>
      <c r="I37" s="14">
        <v>0.2</v>
      </c>
      <c r="J37" s="14"/>
      <c r="K37" s="15">
        <f>PRODUCT(E37:J37)</f>
        <v>4.1840000000000002</v>
      </c>
      <c r="L37" s="16"/>
    </row>
    <row r="38" spans="1:12" s="62" customFormat="1" ht="12.75" customHeight="1">
      <c r="A38" s="187">
        <f>+A35+0.00000001</f>
        <v>1.1604040499999992</v>
      </c>
      <c r="B38" s="238" t="s">
        <v>320</v>
      </c>
      <c r="C38" s="239"/>
      <c r="D38" s="12" t="s">
        <v>55</v>
      </c>
      <c r="E38" s="12"/>
      <c r="F38" s="12"/>
      <c r="G38" s="12"/>
      <c r="H38" s="12"/>
      <c r="I38" s="12"/>
      <c r="J38" s="18"/>
      <c r="K38" s="16">
        <f>SUM(K39:K40)</f>
        <v>175.72800000000001</v>
      </c>
      <c r="L38" s="16">
        <f>K38</f>
        <v>175.72800000000001</v>
      </c>
    </row>
    <row r="39" spans="1:12" s="62" customFormat="1" ht="12.75" customHeight="1">
      <c r="A39" s="117"/>
      <c r="B39" s="238"/>
      <c r="C39" s="239" t="s">
        <v>318</v>
      </c>
      <c r="D39" s="12" t="s">
        <v>55</v>
      </c>
      <c r="E39" s="97">
        <v>2</v>
      </c>
      <c r="F39" s="99"/>
      <c r="G39" s="14">
        <f>+G36</f>
        <v>3.2</v>
      </c>
      <c r="H39" s="14">
        <f>+H36</f>
        <v>20.92</v>
      </c>
      <c r="I39" s="14" t="s">
        <v>49</v>
      </c>
      <c r="J39" s="14"/>
      <c r="K39" s="15">
        <f>PRODUCT(E39:J39)</f>
        <v>133.88800000000001</v>
      </c>
      <c r="L39" s="16"/>
    </row>
    <row r="40" spans="1:12" s="62" customFormat="1" ht="12.75" customHeight="1">
      <c r="A40" s="117"/>
      <c r="B40" s="238"/>
      <c r="C40" s="239" t="s">
        <v>319</v>
      </c>
      <c r="D40" s="13" t="s">
        <v>55</v>
      </c>
      <c r="E40" s="13">
        <v>2</v>
      </c>
      <c r="F40" s="12"/>
      <c r="G40" s="14">
        <f>+G37</f>
        <v>1</v>
      </c>
      <c r="H40" s="14">
        <f>+H37</f>
        <v>20.92</v>
      </c>
      <c r="I40" s="14" t="s">
        <v>49</v>
      </c>
      <c r="J40" s="14"/>
      <c r="K40" s="15">
        <f>PRODUCT(E40:J40)</f>
        <v>41.84</v>
      </c>
      <c r="L40" s="16"/>
    </row>
    <row r="41" spans="1:12" s="62" customFormat="1" ht="12.75" customHeight="1">
      <c r="A41" s="187">
        <f>+A38+0.00000001</f>
        <v>1.1604040599999992</v>
      </c>
      <c r="B41" s="238" t="s">
        <v>321</v>
      </c>
      <c r="C41" s="239"/>
      <c r="D41" s="12" t="s">
        <v>68</v>
      </c>
      <c r="E41" s="97"/>
      <c r="F41" s="99"/>
      <c r="G41" s="14"/>
      <c r="H41" s="14"/>
      <c r="I41" s="14"/>
      <c r="J41" s="14"/>
      <c r="K41" s="16">
        <f>SUM(K42:K42)</f>
        <v>1501.6027000000001</v>
      </c>
      <c r="L41" s="16">
        <f>K41</f>
        <v>1501.6027000000001</v>
      </c>
    </row>
    <row r="42" spans="1:12" s="62" customFormat="1" ht="12.75" customHeight="1">
      <c r="A42" s="117"/>
      <c r="B42" s="238"/>
      <c r="C42" s="239" t="s">
        <v>283</v>
      </c>
      <c r="D42" s="12" t="s">
        <v>68</v>
      </c>
      <c r="E42" s="13" t="s">
        <v>49</v>
      </c>
      <c r="F42" s="18"/>
      <c r="G42" s="14" t="s">
        <v>49</v>
      </c>
      <c r="H42" s="14" t="s">
        <v>49</v>
      </c>
      <c r="I42" s="14" t="s">
        <v>49</v>
      </c>
      <c r="J42" s="102"/>
      <c r="K42" s="15">
        <f>+'6.acero'!O163</f>
        <v>1501.6027000000001</v>
      </c>
      <c r="L42" s="16"/>
    </row>
    <row r="43" spans="1:12" s="62" customFormat="1" ht="12.75" customHeight="1">
      <c r="A43" s="186">
        <f>+A28+0.000001</f>
        <v>1.1604049999999995</v>
      </c>
      <c r="B43" s="259" t="s">
        <v>97</v>
      </c>
      <c r="C43" s="260"/>
      <c r="D43" s="30"/>
      <c r="E43" s="93"/>
      <c r="F43" s="130"/>
      <c r="G43" s="93"/>
      <c r="H43" s="93"/>
      <c r="I43" s="93"/>
      <c r="J43" s="93"/>
      <c r="K43" s="113"/>
      <c r="L43" s="94"/>
    </row>
    <row r="44" spans="1:12" s="62" customFormat="1" ht="12.75" customHeight="1">
      <c r="A44" s="187">
        <f>+A43+0.00000001</f>
        <v>1.1604050099999994</v>
      </c>
      <c r="B44" s="238" t="s">
        <v>101</v>
      </c>
      <c r="C44" s="242"/>
      <c r="D44" s="12" t="s">
        <v>48</v>
      </c>
      <c r="E44" s="122"/>
      <c r="F44" s="97"/>
      <c r="G44" s="14"/>
      <c r="H44" s="14"/>
      <c r="I44" s="14"/>
      <c r="J44" s="14"/>
      <c r="K44" s="16">
        <f>ROUND(SUM(K45:K45),0)</f>
        <v>14</v>
      </c>
      <c r="L44" s="16">
        <f>K44</f>
        <v>14</v>
      </c>
    </row>
    <row r="45" spans="1:12" s="62" customFormat="1" ht="12.75" customHeight="1">
      <c r="A45" s="129"/>
      <c r="B45" s="240"/>
      <c r="C45" s="251"/>
      <c r="D45" s="84"/>
      <c r="E45" s="132">
        <f>+L29+L35</f>
        <v>42.153800000000004</v>
      </c>
      <c r="F45" s="104">
        <v>3</v>
      </c>
      <c r="G45" s="84" t="s">
        <v>49</v>
      </c>
      <c r="H45" s="84" t="s">
        <v>49</v>
      </c>
      <c r="I45" s="84" t="s">
        <v>49</v>
      </c>
      <c r="J45" s="104"/>
      <c r="K45" s="95">
        <f>+E45/F45</f>
        <v>14.051266666666669</v>
      </c>
      <c r="L45" s="87"/>
    </row>
    <row r="46" spans="1:12" ht="12.75" customHeight="1">
      <c r="A46" s="10"/>
      <c r="B46" s="10"/>
      <c r="C46" s="10"/>
      <c r="D46" s="21"/>
      <c r="E46" s="66"/>
      <c r="F46" s="10"/>
      <c r="G46" s="21"/>
      <c r="H46" s="21"/>
      <c r="I46" s="21"/>
      <c r="J46" s="10"/>
      <c r="K46" s="67"/>
      <c r="L46" s="68"/>
    </row>
  </sheetData>
  <mergeCells count="8">
    <mergeCell ref="A1:L1"/>
    <mergeCell ref="B2:L2"/>
    <mergeCell ref="A6:A7"/>
    <mergeCell ref="B6:C7"/>
    <mergeCell ref="D6:D7"/>
    <mergeCell ref="F6:J6"/>
    <mergeCell ref="K6:K7"/>
    <mergeCell ref="L6:L7"/>
  </mergeCells>
  <printOptions horizontalCentered="1"/>
  <pageMargins left="0.59055118110236227" right="0.59055118110236227" top="0.98425196850393704" bottom="0.59055118110236227" header="0.51181102362204722" footer="0.51181102362204722"/>
  <pageSetup paperSize="9" scale="80" orientation="landscape" horizontalDpi="200" verticalDpi="200" r:id="rId1"/>
  <headerFooter alignWithMargins="0">
    <oddHeader>&amp;C&amp;14PLANILLA DE METRADOS DE RESERVORIOS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448C5D-C230-4344-BAE8-E89CE47249DC}">
  <sheetPr>
    <tabColor theme="3" tint="0.39997558519241921"/>
  </sheetPr>
  <dimension ref="A1:L49"/>
  <sheetViews>
    <sheetView view="pageBreakPreview" zoomScaleNormal="85" zoomScaleSheetLayoutView="100" workbookViewId="0">
      <selection activeCell="K12" sqref="K12"/>
    </sheetView>
  </sheetViews>
  <sheetFormatPr defaultColWidth="11.42578125" defaultRowHeight="12.75" customHeight="1"/>
  <cols>
    <col min="1" max="1" width="17.5703125" style="157" customWidth="1"/>
    <col min="2" max="3" width="27.85546875" style="157" customWidth="1"/>
    <col min="4" max="4" width="8" style="157" customWidth="1"/>
    <col min="5" max="5" width="7.28515625" style="157" customWidth="1"/>
    <col min="6" max="10" width="9.28515625" style="157" customWidth="1"/>
    <col min="11" max="12" width="10.42578125" style="158" customWidth="1"/>
    <col min="13" max="13" width="8" style="133" customWidth="1"/>
    <col min="14" max="16384" width="11.42578125" style="133"/>
  </cols>
  <sheetData>
    <row r="1" spans="1:12" ht="18.75" customHeight="1">
      <c r="A1" s="332" t="s">
        <v>16</v>
      </c>
      <c r="B1" s="333"/>
      <c r="C1" s="333"/>
      <c r="D1" s="333"/>
      <c r="E1" s="333"/>
      <c r="F1" s="333"/>
      <c r="G1" s="333"/>
      <c r="H1" s="333"/>
      <c r="I1" s="333"/>
      <c r="J1" s="333"/>
      <c r="K1" s="333"/>
      <c r="L1" s="334"/>
    </row>
    <row r="2" spans="1:12" ht="12.75" customHeight="1">
      <c r="A2" s="284" t="s">
        <v>17</v>
      </c>
      <c r="B2" s="343" t="str">
        <f>+[1]Resumen!B2</f>
        <v>AMPLIACIÓN Y MEJORAMIENTO DE LOS SISTEMAS DE AGUA POTABLE Y ALCANTARILLADO PARA EL  ESQUEMA  LOS  CHANCAS  -  LA  ENCALADA  DISTRITO  SANTA  ANITA</v>
      </c>
      <c r="C2" s="343"/>
      <c r="D2" s="343"/>
      <c r="E2" s="343"/>
      <c r="F2" s="343"/>
      <c r="G2" s="343"/>
      <c r="H2" s="343"/>
      <c r="I2" s="343"/>
      <c r="J2" s="343"/>
      <c r="K2" s="343"/>
      <c r="L2" s="344"/>
    </row>
    <row r="3" spans="1:12" ht="12.75" customHeight="1">
      <c r="A3" s="285" t="s">
        <v>322</v>
      </c>
      <c r="B3" s="274" t="str">
        <f>+[1]Resumen!B5</f>
        <v>LIMA</v>
      </c>
      <c r="C3" s="275"/>
      <c r="D3" s="276"/>
      <c r="E3" s="277"/>
      <c r="F3" s="275"/>
      <c r="G3" s="275"/>
      <c r="H3" s="275"/>
      <c r="I3" s="275"/>
      <c r="J3" s="275"/>
      <c r="K3" s="278"/>
      <c r="L3" s="286"/>
    </row>
    <row r="4" spans="1:12" ht="12.75" customHeight="1">
      <c r="A4" s="285" t="s">
        <v>323</v>
      </c>
      <c r="B4" s="274"/>
      <c r="C4" s="275"/>
      <c r="D4" s="276"/>
      <c r="E4" s="277"/>
      <c r="F4" s="275"/>
      <c r="G4" s="275"/>
      <c r="H4" s="275"/>
      <c r="I4" s="275"/>
      <c r="J4" s="275"/>
      <c r="K4" s="278"/>
      <c r="L4" s="286"/>
    </row>
    <row r="5" spans="1:12" ht="12.75" customHeight="1">
      <c r="A5" s="287" t="s">
        <v>11</v>
      </c>
      <c r="B5" s="279" t="s">
        <v>18</v>
      </c>
      <c r="C5" s="280"/>
      <c r="D5" s="281"/>
      <c r="E5" s="282"/>
      <c r="F5" s="280"/>
      <c r="G5" s="280"/>
      <c r="H5" s="280"/>
      <c r="I5" s="280"/>
      <c r="J5" s="280"/>
      <c r="K5" s="283"/>
      <c r="L5" s="288"/>
    </row>
    <row r="6" spans="1:12" ht="12.75" customHeight="1">
      <c r="A6" s="345" t="s">
        <v>19</v>
      </c>
      <c r="B6" s="345" t="s">
        <v>20</v>
      </c>
      <c r="C6" s="345"/>
      <c r="D6" s="345" t="s">
        <v>21</v>
      </c>
      <c r="E6" s="326" t="s">
        <v>22</v>
      </c>
      <c r="F6" s="345" t="s">
        <v>23</v>
      </c>
      <c r="G6" s="345"/>
      <c r="H6" s="345"/>
      <c r="I6" s="345"/>
      <c r="J6" s="345"/>
      <c r="K6" s="346" t="s">
        <v>24</v>
      </c>
      <c r="L6" s="346" t="s">
        <v>25</v>
      </c>
    </row>
    <row r="7" spans="1:12" ht="12.75" customHeight="1">
      <c r="A7" s="345"/>
      <c r="B7" s="345"/>
      <c r="C7" s="345"/>
      <c r="D7" s="345"/>
      <c r="E7" s="326" t="s">
        <v>26</v>
      </c>
      <c r="F7" s="326" t="s">
        <v>27</v>
      </c>
      <c r="G7" s="326" t="s">
        <v>28</v>
      </c>
      <c r="H7" s="326" t="s">
        <v>29</v>
      </c>
      <c r="I7" s="326" t="s">
        <v>30</v>
      </c>
      <c r="J7" s="326" t="s">
        <v>31</v>
      </c>
      <c r="K7" s="346"/>
      <c r="L7" s="346"/>
    </row>
    <row r="8" spans="1:12" ht="12.75" customHeight="1">
      <c r="A8" s="186">
        <f>+'4.muro de contencion'!A8+0.0001</f>
        <v>1.1604999999999999</v>
      </c>
      <c r="B8" s="264" t="s">
        <v>324</v>
      </c>
      <c r="C8" s="265"/>
      <c r="D8" s="134"/>
      <c r="E8" s="134"/>
      <c r="F8" s="134"/>
      <c r="G8" s="134"/>
      <c r="H8" s="134"/>
      <c r="I8" s="134"/>
      <c r="J8" s="134"/>
      <c r="K8" s="135"/>
      <c r="L8" s="135"/>
    </row>
    <row r="9" spans="1:12" s="62" customFormat="1" ht="15.95" customHeight="1">
      <c r="A9" s="188">
        <f>+A8+0.000001</f>
        <v>1.1605009999999998</v>
      </c>
      <c r="B9" s="235" t="s">
        <v>34</v>
      </c>
      <c r="C9" s="237"/>
      <c r="D9" s="6"/>
      <c r="E9" s="180"/>
      <c r="F9" s="8"/>
      <c r="G9" s="8"/>
      <c r="H9" s="8"/>
      <c r="I9" s="8"/>
      <c r="J9" s="8"/>
      <c r="K9" s="9"/>
      <c r="L9" s="20"/>
    </row>
    <row r="10" spans="1:12" s="62" customFormat="1" ht="15.95" customHeight="1">
      <c r="A10" s="187">
        <f>+A9+0.00000001</f>
        <v>1.1605010099999997</v>
      </c>
      <c r="B10" s="238" t="s">
        <v>325</v>
      </c>
      <c r="C10" s="239"/>
      <c r="D10" s="35" t="s">
        <v>36</v>
      </c>
      <c r="E10" s="13"/>
      <c r="F10" s="12"/>
      <c r="G10" s="14"/>
      <c r="H10" s="14"/>
      <c r="I10" s="14"/>
      <c r="J10" s="14"/>
      <c r="K10" s="16">
        <f>+SUM(K11)</f>
        <v>1.50075</v>
      </c>
      <c r="L10" s="16">
        <f>+K10</f>
        <v>1.50075</v>
      </c>
    </row>
    <row r="11" spans="1:12" s="62" customFormat="1" ht="15.95" customHeight="1">
      <c r="A11" s="117"/>
      <c r="B11" s="238"/>
      <c r="C11" s="239" t="s">
        <v>326</v>
      </c>
      <c r="D11" s="35" t="s">
        <v>36</v>
      </c>
      <c r="E11" s="182">
        <v>0.5</v>
      </c>
      <c r="F11" s="12"/>
      <c r="G11" s="14">
        <v>0.2</v>
      </c>
      <c r="H11" s="14">
        <v>4.3499999999999996</v>
      </c>
      <c r="I11" s="14">
        <v>3.45</v>
      </c>
      <c r="J11" s="14"/>
      <c r="K11" s="15">
        <f>+PRODUCT(E11:J11)</f>
        <v>1.50075</v>
      </c>
      <c r="L11" s="16"/>
    </row>
    <row r="12" spans="1:12" s="62" customFormat="1" ht="15.95" customHeight="1">
      <c r="A12" s="187">
        <f>+A10+0.00000001</f>
        <v>1.1605010199999997</v>
      </c>
      <c r="B12" s="238" t="s">
        <v>44</v>
      </c>
      <c r="C12" s="239"/>
      <c r="D12" s="35" t="s">
        <v>36</v>
      </c>
      <c r="E12" s="13"/>
      <c r="F12" s="12"/>
      <c r="G12" s="14"/>
      <c r="H12" s="14"/>
      <c r="I12" s="14"/>
      <c r="J12" s="14"/>
      <c r="K12" s="16">
        <f>+K13</f>
        <v>1.50075</v>
      </c>
      <c r="L12" s="16">
        <f>+K12</f>
        <v>1.50075</v>
      </c>
    </row>
    <row r="13" spans="1:12" s="62" customFormat="1" ht="15.95" customHeight="1">
      <c r="A13" s="119"/>
      <c r="B13" s="240"/>
      <c r="C13" s="241" t="s">
        <v>45</v>
      </c>
      <c r="D13" s="121" t="s">
        <v>36</v>
      </c>
      <c r="E13" s="85">
        <v>1</v>
      </c>
      <c r="F13" s="84"/>
      <c r="G13" s="86"/>
      <c r="H13" s="86"/>
      <c r="I13" s="86"/>
      <c r="J13" s="86"/>
      <c r="K13" s="95">
        <f>+L10</f>
        <v>1.50075</v>
      </c>
      <c r="L13" s="87"/>
    </row>
    <row r="14" spans="1:12" ht="12.75" customHeight="1">
      <c r="A14" s="188">
        <f>+A9+0.000001</f>
        <v>1.1605019999999997</v>
      </c>
      <c r="B14" s="266" t="s">
        <v>46</v>
      </c>
      <c r="C14" s="267"/>
      <c r="D14" s="136"/>
      <c r="E14" s="137"/>
      <c r="F14" s="138"/>
      <c r="G14" s="138"/>
      <c r="H14" s="138"/>
      <c r="I14" s="138"/>
      <c r="J14" s="138"/>
      <c r="K14" s="139"/>
      <c r="L14" s="140"/>
    </row>
    <row r="15" spans="1:12" ht="12.75" customHeight="1">
      <c r="A15" s="187">
        <f>+A14+0.00000001</f>
        <v>1.1605020099999996</v>
      </c>
      <c r="B15" s="268" t="s">
        <v>327</v>
      </c>
      <c r="C15" s="269"/>
      <c r="D15" s="141" t="s">
        <v>237</v>
      </c>
      <c r="E15" s="142"/>
      <c r="F15" s="141"/>
      <c r="G15" s="143"/>
      <c r="H15" s="143"/>
      <c r="I15" s="143"/>
      <c r="J15" s="143"/>
      <c r="K15" s="144">
        <f>+K16</f>
        <v>196.20000000000002</v>
      </c>
      <c r="L15" s="144">
        <f>+K15</f>
        <v>196.20000000000002</v>
      </c>
    </row>
    <row r="16" spans="1:12" ht="12.75" customHeight="1">
      <c r="A16" s="159"/>
      <c r="B16" s="268"/>
      <c r="C16" s="269" t="s">
        <v>328</v>
      </c>
      <c r="D16" s="141"/>
      <c r="E16" s="142">
        <v>1</v>
      </c>
      <c r="F16" s="141"/>
      <c r="G16" s="143" t="s">
        <v>49</v>
      </c>
      <c r="H16" s="143">
        <v>18</v>
      </c>
      <c r="I16" s="143">
        <v>10.9</v>
      </c>
      <c r="J16" s="143"/>
      <c r="K16" s="145">
        <f>+PRODUCT(E16:J16)</f>
        <v>196.20000000000002</v>
      </c>
      <c r="L16" s="145"/>
    </row>
    <row r="17" spans="1:12" ht="12.75" customHeight="1">
      <c r="A17" s="187">
        <f>+A15+0.00000001</f>
        <v>1.1605020199999996</v>
      </c>
      <c r="B17" s="268" t="s">
        <v>329</v>
      </c>
      <c r="C17" s="269"/>
      <c r="D17" s="141" t="s">
        <v>237</v>
      </c>
      <c r="E17" s="142"/>
      <c r="F17" s="141"/>
      <c r="G17" s="143"/>
      <c r="H17" s="143"/>
      <c r="I17" s="143"/>
      <c r="J17" s="143"/>
      <c r="K17" s="144">
        <f>+K18</f>
        <v>196.20000000000002</v>
      </c>
      <c r="L17" s="145">
        <f>+K17</f>
        <v>196.20000000000002</v>
      </c>
    </row>
    <row r="18" spans="1:12" ht="12.75" customHeight="1">
      <c r="A18" s="159"/>
      <c r="B18" s="268"/>
      <c r="C18" s="269" t="s">
        <v>328</v>
      </c>
      <c r="D18" s="141"/>
      <c r="E18" s="142">
        <v>1</v>
      </c>
      <c r="F18" s="141"/>
      <c r="G18" s="143" t="s">
        <v>49</v>
      </c>
      <c r="H18" s="143">
        <f>+H16</f>
        <v>18</v>
      </c>
      <c r="I18" s="143">
        <f>+I16</f>
        <v>10.9</v>
      </c>
      <c r="J18" s="143"/>
      <c r="K18" s="145">
        <f>+PRODUCT(E18:J18)</f>
        <v>196.20000000000002</v>
      </c>
      <c r="L18" s="145"/>
    </row>
    <row r="19" spans="1:12" ht="12.75" customHeight="1">
      <c r="A19" s="188">
        <f>+A14+0.000001</f>
        <v>1.1605029999999996</v>
      </c>
      <c r="B19" s="266" t="s">
        <v>51</v>
      </c>
      <c r="C19" s="267"/>
      <c r="D19" s="136"/>
      <c r="E19" s="137"/>
      <c r="F19" s="136"/>
      <c r="G19" s="146"/>
      <c r="H19" s="146"/>
      <c r="I19" s="146"/>
      <c r="J19" s="146"/>
      <c r="K19" s="139"/>
      <c r="L19" s="140"/>
    </row>
    <row r="20" spans="1:12" ht="12.75" customHeight="1">
      <c r="A20" s="187">
        <f>+A19+0.00000001</f>
        <v>1.1605030099999996</v>
      </c>
      <c r="B20" s="268" t="s">
        <v>269</v>
      </c>
      <c r="C20" s="269"/>
      <c r="D20" s="141" t="s">
        <v>36</v>
      </c>
      <c r="E20" s="142"/>
      <c r="F20" s="141"/>
      <c r="G20" s="143"/>
      <c r="H20" s="143"/>
      <c r="I20" s="143"/>
      <c r="J20" s="143"/>
      <c r="K20" s="144">
        <f>+SUM(K21:K21)</f>
        <v>1.3319999999999999</v>
      </c>
      <c r="L20" s="144">
        <f>K20</f>
        <v>1.3319999999999999</v>
      </c>
    </row>
    <row r="21" spans="1:12" ht="12.75" customHeight="1">
      <c r="A21" s="159"/>
      <c r="B21" s="268"/>
      <c r="C21" s="269" t="s">
        <v>330</v>
      </c>
      <c r="D21" s="141"/>
      <c r="E21" s="142">
        <v>1</v>
      </c>
      <c r="F21" s="141"/>
      <c r="G21" s="143">
        <v>0.6</v>
      </c>
      <c r="H21" s="143">
        <v>5.55</v>
      </c>
      <c r="I21" s="143">
        <v>0.4</v>
      </c>
      <c r="J21" s="143"/>
      <c r="K21" s="145">
        <f>+PRODUCT(E21:J21)</f>
        <v>1.3319999999999999</v>
      </c>
      <c r="L21" s="144"/>
    </row>
    <row r="22" spans="1:12" ht="12.75" customHeight="1">
      <c r="A22" s="187">
        <f>+A20+0.00000001</f>
        <v>1.1605030199999995</v>
      </c>
      <c r="B22" s="268" t="s">
        <v>331</v>
      </c>
      <c r="C22" s="269"/>
      <c r="D22" s="141" t="s">
        <v>55</v>
      </c>
      <c r="E22" s="142"/>
      <c r="F22" s="141"/>
      <c r="G22" s="143"/>
      <c r="H22" s="143"/>
      <c r="I22" s="143"/>
      <c r="J22" s="143"/>
      <c r="K22" s="144">
        <f>+SUM(K23:K23)</f>
        <v>2.2200000000000002</v>
      </c>
      <c r="L22" s="144">
        <f>+K22</f>
        <v>2.2200000000000002</v>
      </c>
    </row>
    <row r="23" spans="1:12" ht="12.75" customHeight="1">
      <c r="A23" s="159"/>
      <c r="B23" s="268"/>
      <c r="C23" s="269" t="s">
        <v>332</v>
      </c>
      <c r="D23" s="141"/>
      <c r="E23" s="142">
        <v>1</v>
      </c>
      <c r="F23" s="141"/>
      <c r="G23" s="143" t="s">
        <v>49</v>
      </c>
      <c r="H23" s="143">
        <f>+H21</f>
        <v>5.55</v>
      </c>
      <c r="I23" s="143">
        <v>0.4</v>
      </c>
      <c r="J23" s="143"/>
      <c r="K23" s="145">
        <f t="shared" ref="K23:K33" si="0">+PRODUCT(E23:J23)</f>
        <v>2.2200000000000002</v>
      </c>
      <c r="L23" s="145"/>
    </row>
    <row r="24" spans="1:12" ht="12.75" customHeight="1">
      <c r="A24" s="187">
        <f>+A22+0.00000001</f>
        <v>1.1605030299999994</v>
      </c>
      <c r="B24" s="268" t="s">
        <v>333</v>
      </c>
      <c r="C24" s="269"/>
      <c r="D24" s="141" t="s">
        <v>36</v>
      </c>
      <c r="E24" s="142"/>
      <c r="F24" s="141"/>
      <c r="G24" s="143"/>
      <c r="H24" s="143"/>
      <c r="I24" s="143"/>
      <c r="J24" s="143"/>
      <c r="K24" s="144">
        <f>+K25</f>
        <v>1.0880000000000001</v>
      </c>
      <c r="L24" s="144">
        <f>+K24</f>
        <v>1.0880000000000001</v>
      </c>
    </row>
    <row r="25" spans="1:12" ht="12.75" customHeight="1">
      <c r="A25" s="159"/>
      <c r="B25" s="268"/>
      <c r="C25" s="269" t="s">
        <v>334</v>
      </c>
      <c r="D25" s="141"/>
      <c r="E25" s="142">
        <v>1</v>
      </c>
      <c r="F25" s="141"/>
      <c r="G25" s="143">
        <v>0.2</v>
      </c>
      <c r="H25" s="143" t="s">
        <v>49</v>
      </c>
      <c r="I25" s="143" t="s">
        <v>49</v>
      </c>
      <c r="J25" s="143">
        <v>5.44</v>
      </c>
      <c r="K25" s="145">
        <f t="shared" si="0"/>
        <v>1.0880000000000001</v>
      </c>
      <c r="L25" s="145"/>
    </row>
    <row r="26" spans="1:12" ht="12.75" customHeight="1">
      <c r="A26" s="187">
        <f>+A24+0.00000001</f>
        <v>1.1605030399999994</v>
      </c>
      <c r="B26" s="268" t="s">
        <v>335</v>
      </c>
      <c r="C26" s="270"/>
      <c r="D26" s="141" t="s">
        <v>36</v>
      </c>
      <c r="E26" s="142"/>
      <c r="F26" s="141"/>
      <c r="G26" s="143"/>
      <c r="H26" s="143"/>
      <c r="I26" s="143"/>
      <c r="J26" s="143"/>
      <c r="K26" s="144">
        <f>+SUM(K27:K28)</f>
        <v>0.29279999999999973</v>
      </c>
      <c r="L26" s="147">
        <f>+K26</f>
        <v>0.29279999999999973</v>
      </c>
    </row>
    <row r="27" spans="1:12" ht="12.75" customHeight="1">
      <c r="A27" s="159"/>
      <c r="B27" s="268"/>
      <c r="C27" s="269" t="s">
        <v>336</v>
      </c>
      <c r="D27" s="141"/>
      <c r="E27" s="142">
        <v>1</v>
      </c>
      <c r="F27" s="141">
        <v>1.2</v>
      </c>
      <c r="G27" s="143" t="s">
        <v>49</v>
      </c>
      <c r="H27" s="143" t="s">
        <v>49</v>
      </c>
      <c r="I27" s="143" t="s">
        <v>337</v>
      </c>
      <c r="J27" s="143">
        <f>+L20</f>
        <v>1.3319999999999999</v>
      </c>
      <c r="K27" s="145">
        <f t="shared" si="0"/>
        <v>1.5983999999999998</v>
      </c>
      <c r="L27" s="148"/>
    </row>
    <row r="28" spans="1:12" ht="12.75" customHeight="1">
      <c r="A28" s="159"/>
      <c r="B28" s="268"/>
      <c r="C28" s="269" t="s">
        <v>338</v>
      </c>
      <c r="D28" s="141"/>
      <c r="E28" s="142">
        <v>-1</v>
      </c>
      <c r="F28" s="141">
        <v>1.2</v>
      </c>
      <c r="G28" s="143" t="s">
        <v>49</v>
      </c>
      <c r="H28" s="143" t="s">
        <v>49</v>
      </c>
      <c r="I28" s="143" t="s">
        <v>337</v>
      </c>
      <c r="J28" s="143">
        <f>+L24</f>
        <v>1.0880000000000001</v>
      </c>
      <c r="K28" s="145">
        <f>+PRODUCT(E28:J28)</f>
        <v>-1.3056000000000001</v>
      </c>
      <c r="L28" s="148"/>
    </row>
    <row r="29" spans="1:12" ht="12.75" customHeight="1">
      <c r="A29" s="185">
        <f>+A19+0.000001</f>
        <v>1.1605039999999995</v>
      </c>
      <c r="B29" s="264" t="s">
        <v>275</v>
      </c>
      <c r="C29" s="271"/>
      <c r="D29" s="134"/>
      <c r="E29" s="149"/>
      <c r="F29" s="134"/>
      <c r="G29" s="150"/>
      <c r="H29" s="150"/>
      <c r="I29" s="150"/>
      <c r="J29" s="150"/>
      <c r="K29" s="151"/>
      <c r="L29" s="152"/>
    </row>
    <row r="30" spans="1:12" ht="12.75" customHeight="1">
      <c r="A30" s="187">
        <f>+A29+0.00000001</f>
        <v>1.1605040099999995</v>
      </c>
      <c r="B30" s="268" t="s">
        <v>339</v>
      </c>
      <c r="C30" s="269"/>
      <c r="D30" s="141" t="s">
        <v>36</v>
      </c>
      <c r="E30" s="142"/>
      <c r="F30" s="141"/>
      <c r="G30" s="143"/>
      <c r="H30" s="143"/>
      <c r="I30" s="143"/>
      <c r="J30" s="143"/>
      <c r="K30" s="144">
        <f>+SUM(K31:K31)</f>
        <v>2.2200000000000002</v>
      </c>
      <c r="L30" s="144">
        <f>+K30</f>
        <v>2.2200000000000002</v>
      </c>
    </row>
    <row r="31" spans="1:12" ht="12.75" customHeight="1">
      <c r="A31" s="159"/>
      <c r="B31" s="268"/>
      <c r="C31" s="269" t="s">
        <v>340</v>
      </c>
      <c r="D31" s="141"/>
      <c r="E31" s="142">
        <v>1</v>
      </c>
      <c r="F31" s="141"/>
      <c r="G31" s="143"/>
      <c r="H31" s="143">
        <v>5.55</v>
      </c>
      <c r="I31" s="143">
        <v>0.4</v>
      </c>
      <c r="J31" s="143"/>
      <c r="K31" s="145">
        <f t="shared" si="0"/>
        <v>2.2200000000000002</v>
      </c>
      <c r="L31" s="144"/>
    </row>
    <row r="32" spans="1:12" ht="12.75" customHeight="1">
      <c r="A32" s="187">
        <f>+A30+0.00000001</f>
        <v>1.1605040199999994</v>
      </c>
      <c r="B32" s="268" t="s">
        <v>341</v>
      </c>
      <c r="C32" s="269"/>
      <c r="D32" s="141" t="s">
        <v>36</v>
      </c>
      <c r="E32" s="142"/>
      <c r="F32" s="141"/>
      <c r="G32" s="143"/>
      <c r="H32" s="143"/>
      <c r="I32" s="143"/>
      <c r="J32" s="143"/>
      <c r="K32" s="144">
        <f>+SUM(K33:K33)</f>
        <v>1.3319999999999999</v>
      </c>
      <c r="L32" s="144">
        <f>+K32</f>
        <v>1.3319999999999999</v>
      </c>
    </row>
    <row r="33" spans="1:12" ht="12.75" customHeight="1">
      <c r="A33" s="159"/>
      <c r="B33" s="268"/>
      <c r="C33" s="269" t="s">
        <v>342</v>
      </c>
      <c r="D33" s="141"/>
      <c r="E33" s="142">
        <v>1</v>
      </c>
      <c r="F33" s="141"/>
      <c r="G33" s="143">
        <v>0.6</v>
      </c>
      <c r="H33" s="143">
        <f>+H31</f>
        <v>5.55</v>
      </c>
      <c r="I33" s="143">
        <v>0.4</v>
      </c>
      <c r="J33" s="143"/>
      <c r="K33" s="145">
        <f t="shared" si="0"/>
        <v>1.3319999999999999</v>
      </c>
      <c r="L33" s="145"/>
    </row>
    <row r="34" spans="1:12" ht="12.75" customHeight="1">
      <c r="A34" s="187">
        <f>+A32+0.00000001</f>
        <v>1.1605040299999994</v>
      </c>
      <c r="B34" s="268" t="s">
        <v>343</v>
      </c>
      <c r="C34" s="269"/>
      <c r="D34" s="141" t="s">
        <v>55</v>
      </c>
      <c r="E34" s="142"/>
      <c r="F34" s="141"/>
      <c r="G34" s="143"/>
      <c r="H34" s="143"/>
      <c r="I34" s="143"/>
      <c r="J34" s="143"/>
      <c r="K34" s="144">
        <f>+SUM(K35:K35)</f>
        <v>6.6599999999999993</v>
      </c>
      <c r="L34" s="144">
        <f>+K34</f>
        <v>6.6599999999999993</v>
      </c>
    </row>
    <row r="35" spans="1:12" ht="12.75" customHeight="1">
      <c r="A35" s="159"/>
      <c r="B35" s="268"/>
      <c r="C35" s="269" t="s">
        <v>342</v>
      </c>
      <c r="D35" s="141"/>
      <c r="E35" s="142">
        <v>2</v>
      </c>
      <c r="F35" s="141"/>
      <c r="G35" s="143">
        <f>+G33</f>
        <v>0.6</v>
      </c>
      <c r="H35" s="143">
        <f>+H33</f>
        <v>5.55</v>
      </c>
      <c r="I35" s="143" t="s">
        <v>49</v>
      </c>
      <c r="J35" s="143"/>
      <c r="K35" s="145">
        <f>+PRODUCT(E35:J35)</f>
        <v>6.6599999999999993</v>
      </c>
      <c r="L35" s="144"/>
    </row>
    <row r="36" spans="1:12" ht="12.75" customHeight="1">
      <c r="A36" s="187">
        <f>+A34+0.00000001</f>
        <v>1.1605040399999993</v>
      </c>
      <c r="B36" s="268" t="s">
        <v>344</v>
      </c>
      <c r="C36" s="269"/>
      <c r="D36" s="141" t="s">
        <v>36</v>
      </c>
      <c r="E36" s="142"/>
      <c r="F36" s="141"/>
      <c r="G36" s="143"/>
      <c r="H36" s="143"/>
      <c r="I36" s="143"/>
      <c r="J36" s="143"/>
      <c r="K36" s="144">
        <f>+SUM(K37:K38)</f>
        <v>2.9112499999999999</v>
      </c>
      <c r="L36" s="144">
        <f>+K36</f>
        <v>2.9112499999999999</v>
      </c>
    </row>
    <row r="37" spans="1:12" ht="12.75" customHeight="1">
      <c r="A37" s="159"/>
      <c r="B37" s="268"/>
      <c r="C37" s="269" t="s">
        <v>342</v>
      </c>
      <c r="D37" s="141"/>
      <c r="E37" s="142">
        <v>7</v>
      </c>
      <c r="F37" s="141"/>
      <c r="G37" s="143" t="s">
        <v>49</v>
      </c>
      <c r="H37" s="143">
        <v>4</v>
      </c>
      <c r="I37" s="143" t="s">
        <v>49</v>
      </c>
      <c r="J37" s="143">
        <v>0.05</v>
      </c>
      <c r="K37" s="145">
        <f>+PRODUCT(E37:J37)</f>
        <v>1.4000000000000001</v>
      </c>
      <c r="L37" s="145"/>
    </row>
    <row r="38" spans="1:12" ht="12.75" customHeight="1">
      <c r="A38" s="183"/>
      <c r="B38" s="268"/>
      <c r="C38" s="269" t="s">
        <v>106</v>
      </c>
      <c r="D38" s="141"/>
      <c r="E38" s="184">
        <v>0.5</v>
      </c>
      <c r="F38" s="141"/>
      <c r="G38" s="143" t="s">
        <v>49</v>
      </c>
      <c r="H38" s="143">
        <v>1.95</v>
      </c>
      <c r="I38" s="143">
        <v>1.55</v>
      </c>
      <c r="J38" s="143"/>
      <c r="K38" s="145">
        <f>+PRODUCT(E38:J38)</f>
        <v>1.51125</v>
      </c>
      <c r="L38" s="145"/>
    </row>
    <row r="39" spans="1:12" ht="12.75" customHeight="1">
      <c r="A39" s="187">
        <f>+A36+0.00000001</f>
        <v>1.1605040499999992</v>
      </c>
      <c r="B39" s="268" t="s">
        <v>345</v>
      </c>
      <c r="C39" s="269"/>
      <c r="D39" s="141" t="s">
        <v>55</v>
      </c>
      <c r="E39" s="142"/>
      <c r="F39" s="141"/>
      <c r="G39" s="143"/>
      <c r="H39" s="143"/>
      <c r="I39" s="143"/>
      <c r="J39" s="143"/>
      <c r="K39" s="144">
        <f>+SUM(K40)</f>
        <v>2.2400000000000002</v>
      </c>
      <c r="L39" s="144">
        <f>+K39</f>
        <v>2.2400000000000002</v>
      </c>
    </row>
    <row r="40" spans="1:12" ht="12.75" customHeight="1">
      <c r="A40" s="159"/>
      <c r="B40" s="268"/>
      <c r="C40" s="269" t="s">
        <v>175</v>
      </c>
      <c r="D40" s="141"/>
      <c r="E40" s="142">
        <f>+E37</f>
        <v>7</v>
      </c>
      <c r="F40" s="141"/>
      <c r="G40" s="143">
        <v>0.08</v>
      </c>
      <c r="H40" s="143">
        <f>+H37</f>
        <v>4</v>
      </c>
      <c r="I40" s="143" t="s">
        <v>49</v>
      </c>
      <c r="J40" s="143"/>
      <c r="K40" s="145">
        <f>+PRODUCT(E40:J40)</f>
        <v>2.2400000000000002</v>
      </c>
      <c r="L40" s="144"/>
    </row>
    <row r="41" spans="1:12" s="157" customFormat="1" ht="12.75" customHeight="1">
      <c r="A41" s="188">
        <f>+A29+0.000001</f>
        <v>1.1605049999999995</v>
      </c>
      <c r="B41" s="266" t="s">
        <v>97</v>
      </c>
      <c r="C41" s="267"/>
      <c r="D41" s="136"/>
      <c r="E41" s="137"/>
      <c r="F41" s="136"/>
      <c r="G41" s="146"/>
      <c r="H41" s="146"/>
      <c r="I41" s="146"/>
      <c r="J41" s="146"/>
      <c r="K41" s="139"/>
      <c r="L41" s="139"/>
    </row>
    <row r="42" spans="1:12" s="157" customFormat="1" ht="12.75" customHeight="1">
      <c r="A42" s="187">
        <f>+A41+0.00000001</f>
        <v>1.1605050099999994</v>
      </c>
      <c r="B42" s="268" t="s">
        <v>346</v>
      </c>
      <c r="C42" s="269"/>
      <c r="D42" s="141" t="s">
        <v>55</v>
      </c>
      <c r="E42" s="142"/>
      <c r="F42" s="141"/>
      <c r="G42" s="143"/>
      <c r="H42" s="143"/>
      <c r="I42" s="143"/>
      <c r="J42" s="143"/>
      <c r="K42" s="144">
        <f>+SUM(K43:K45)</f>
        <v>10.033624999999999</v>
      </c>
      <c r="L42" s="144">
        <f>+K42</f>
        <v>10.033624999999999</v>
      </c>
    </row>
    <row r="43" spans="1:12" s="157" customFormat="1" ht="12.75" customHeight="1">
      <c r="A43" s="159"/>
      <c r="B43" s="268"/>
      <c r="C43" s="269" t="s">
        <v>347</v>
      </c>
      <c r="D43" s="141"/>
      <c r="E43" s="142">
        <v>1</v>
      </c>
      <c r="F43" s="141"/>
      <c r="G43" s="143">
        <v>3.8</v>
      </c>
      <c r="H43" s="143">
        <f>2.5+1.5</f>
        <v>4</v>
      </c>
      <c r="I43" s="143">
        <v>0.35</v>
      </c>
      <c r="J43" s="143"/>
      <c r="K43" s="145">
        <f>+PRODUCT(E43:J43)</f>
        <v>5.3199999999999994</v>
      </c>
      <c r="L43" s="145"/>
    </row>
    <row r="44" spans="1:12" s="157" customFormat="1" ht="12.75" customHeight="1">
      <c r="A44" s="159"/>
      <c r="B44" s="268"/>
      <c r="C44" s="269" t="s">
        <v>347</v>
      </c>
      <c r="D44" s="141"/>
      <c r="E44" s="142">
        <v>1</v>
      </c>
      <c r="F44" s="141"/>
      <c r="G44" s="143">
        <v>3.1</v>
      </c>
      <c r="H44" s="143">
        <v>1.55</v>
      </c>
      <c r="I44" s="143">
        <v>0.35</v>
      </c>
      <c r="J44" s="143"/>
      <c r="K44" s="145">
        <f>+PRODUCT(E44:J44)</f>
        <v>1.6817500000000001</v>
      </c>
      <c r="L44" s="145"/>
    </row>
    <row r="45" spans="1:12" s="157" customFormat="1" ht="12.75" customHeight="1">
      <c r="A45" s="183"/>
      <c r="B45" s="268"/>
      <c r="C45" s="269" t="s">
        <v>348</v>
      </c>
      <c r="D45" s="141"/>
      <c r="E45" s="142">
        <v>1</v>
      </c>
      <c r="F45" s="141"/>
      <c r="G45" s="143">
        <v>1.05</v>
      </c>
      <c r="H45" s="143">
        <v>8.25</v>
      </c>
      <c r="I45" s="143">
        <v>0.35</v>
      </c>
      <c r="J45" s="143"/>
      <c r="K45" s="145">
        <f>+PRODUCT(E45:J45)</f>
        <v>3.0318749999999999</v>
      </c>
      <c r="L45" s="145"/>
    </row>
    <row r="46" spans="1:12" ht="12.75" customHeight="1">
      <c r="A46" s="187">
        <f>+A42+0.00000001</f>
        <v>1.1605050199999993</v>
      </c>
      <c r="B46" s="268" t="s">
        <v>349</v>
      </c>
      <c r="C46" s="269"/>
      <c r="D46" s="141" t="s">
        <v>55</v>
      </c>
      <c r="E46" s="142"/>
      <c r="F46" s="141"/>
      <c r="G46" s="143"/>
      <c r="H46" s="143"/>
      <c r="I46" s="143"/>
      <c r="J46" s="143"/>
      <c r="K46" s="144">
        <f>+K47</f>
        <v>24.24</v>
      </c>
      <c r="L46" s="144">
        <f>+K46</f>
        <v>24.24</v>
      </c>
    </row>
    <row r="47" spans="1:12" ht="12.75" customHeight="1">
      <c r="A47" s="159"/>
      <c r="B47" s="268"/>
      <c r="C47" s="269" t="s">
        <v>350</v>
      </c>
      <c r="D47" s="141"/>
      <c r="E47" s="142">
        <v>1</v>
      </c>
      <c r="F47" s="141"/>
      <c r="G47" s="143" t="s">
        <v>49</v>
      </c>
      <c r="H47" s="143" t="s">
        <v>49</v>
      </c>
      <c r="I47" s="143" t="s">
        <v>49</v>
      </c>
      <c r="J47" s="143">
        <v>24.24</v>
      </c>
      <c r="K47" s="145">
        <f>+PRODUCT(E47:J47)</f>
        <v>24.24</v>
      </c>
      <c r="L47" s="144"/>
    </row>
    <row r="48" spans="1:12" ht="12.75" customHeight="1">
      <c r="A48" s="187">
        <f>+A46+0.00000001</f>
        <v>1.1605050299999993</v>
      </c>
      <c r="B48" s="268" t="s">
        <v>351</v>
      </c>
      <c r="C48" s="269"/>
      <c r="D48" s="141" t="s">
        <v>48</v>
      </c>
      <c r="E48" s="142"/>
      <c r="F48" s="141"/>
      <c r="G48" s="143"/>
      <c r="H48" s="143"/>
      <c r="I48" s="143"/>
      <c r="J48" s="143"/>
      <c r="K48" s="144">
        <f>+K49</f>
        <v>1</v>
      </c>
      <c r="L48" s="144">
        <f>+K48</f>
        <v>1</v>
      </c>
    </row>
    <row r="49" spans="1:12" ht="12.75" customHeight="1">
      <c r="A49" s="160"/>
      <c r="B49" s="272"/>
      <c r="C49" s="273"/>
      <c r="D49" s="153"/>
      <c r="E49" s="154">
        <f>+K36</f>
        <v>2.9112499999999999</v>
      </c>
      <c r="F49" s="153">
        <v>3</v>
      </c>
      <c r="G49" s="155"/>
      <c r="H49" s="155"/>
      <c r="I49" s="155"/>
      <c r="J49" s="155">
        <f>+E49/F49</f>
        <v>0.97041666666666659</v>
      </c>
      <c r="K49" s="156">
        <f>+ROUNDUP(J49,0)</f>
        <v>1</v>
      </c>
      <c r="L49" s="156"/>
    </row>
  </sheetData>
  <mergeCells count="8">
    <mergeCell ref="A1:L1"/>
    <mergeCell ref="B2:L2"/>
    <mergeCell ref="A6:A7"/>
    <mergeCell ref="B6:C7"/>
    <mergeCell ref="D6:D7"/>
    <mergeCell ref="F6:J6"/>
    <mergeCell ref="K6:K7"/>
    <mergeCell ref="L6:L7"/>
  </mergeCells>
  <printOptions horizontalCentered="1" gridLines="1"/>
  <pageMargins left="0.59055118110236227" right="0.59055118110236227" top="0.98425196850393704" bottom="0.59055118110236227" header="0.51181102362204722" footer="0.51181102362204722"/>
  <pageSetup paperSize="9" scale="80" orientation="landscape" horizontalDpi="200" verticalDpi="200" r:id="rId1"/>
  <headerFooter alignWithMargins="0">
    <oddHeader>&amp;C&amp;14PLANILLA DE METRADOS DE RESERVORIOS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21DC32-A598-4DE1-BA2B-B04E8B32B6B6}">
  <sheetPr>
    <tabColor theme="3" tint="0.39997558519241921"/>
  </sheetPr>
  <dimension ref="A1:Y170"/>
  <sheetViews>
    <sheetView view="pageBreakPreview" zoomScale="85" zoomScaleNormal="85" zoomScaleSheetLayoutView="85" workbookViewId="0"/>
  </sheetViews>
  <sheetFormatPr defaultColWidth="11.42578125" defaultRowHeight="15.95" customHeight="1"/>
  <cols>
    <col min="1" max="1" width="16.28515625" style="42" customWidth="1"/>
    <col min="2" max="2" width="56.7109375" style="42" customWidth="1"/>
    <col min="3" max="3" width="9" style="45" customWidth="1"/>
    <col min="4" max="4" width="8.85546875" style="45" customWidth="1"/>
    <col min="5" max="5" width="8.5703125" style="46" customWidth="1"/>
    <col min="6" max="6" width="8.5703125" style="42" customWidth="1"/>
    <col min="7" max="8" width="8.5703125" style="44" customWidth="1"/>
    <col min="9" max="10" width="9.28515625" style="45" customWidth="1"/>
    <col min="11" max="11" width="11.28515625" style="45" customWidth="1"/>
    <col min="12" max="14" width="9.28515625" style="45" customWidth="1"/>
    <col min="15" max="15" width="11.42578125" style="47"/>
    <col min="16" max="16384" width="11.42578125" style="42"/>
  </cols>
  <sheetData>
    <row r="1" spans="1:25" ht="35.25" customHeight="1">
      <c r="A1" s="353" t="s">
        <v>352</v>
      </c>
      <c r="B1" s="353"/>
      <c r="C1" s="353"/>
      <c r="D1" s="353"/>
      <c r="E1" s="353"/>
      <c r="F1" s="353"/>
      <c r="G1" s="353"/>
      <c r="H1" s="353"/>
      <c r="I1" s="353"/>
      <c r="J1" s="353"/>
      <c r="K1" s="353"/>
      <c r="L1" s="353"/>
      <c r="M1" s="353"/>
      <c r="N1" s="353"/>
      <c r="O1" s="353"/>
    </row>
    <row r="2" spans="1:25" ht="15.95" customHeight="1">
      <c r="A2" s="309" t="str">
        <f>+'1.CDP'!A2</f>
        <v>Obra:</v>
      </c>
      <c r="B2" s="354" t="str">
        <f>+'1.CDP'!B2</f>
        <v>ESTUDIO DEFINITIVO Y EXPEDIENTE TECNICO: AMPLIACION Y MEJORAMIENTO DE LOS SISTEMAS DE AGUA POTABLE Y ALCANTARILLADO DEL ESQUEMA PUCUSANA.</v>
      </c>
      <c r="C2" s="354"/>
      <c r="D2" s="354"/>
      <c r="E2" s="354"/>
      <c r="F2" s="354"/>
      <c r="G2" s="354"/>
      <c r="H2" s="354"/>
      <c r="I2" s="354"/>
      <c r="J2" s="354"/>
      <c r="K2" s="354"/>
      <c r="L2" s="354"/>
      <c r="M2" s="354"/>
      <c r="N2" s="354"/>
      <c r="O2" s="355"/>
      <c r="P2" s="44"/>
    </row>
    <row r="3" spans="1:25" ht="15.95" customHeight="1">
      <c r="A3" s="309" t="s">
        <v>5</v>
      </c>
      <c r="B3" s="43" t="s">
        <v>6</v>
      </c>
      <c r="C3" s="42"/>
      <c r="O3" s="310"/>
    </row>
    <row r="4" spans="1:25" ht="15.95" customHeight="1">
      <c r="A4" s="309" t="s">
        <v>7</v>
      </c>
      <c r="B4" s="43" t="s">
        <v>263</v>
      </c>
      <c r="C4" s="44"/>
      <c r="D4" s="39"/>
      <c r="E4" s="39"/>
      <c r="F4" s="39"/>
      <c r="G4" s="39"/>
      <c r="H4" s="39"/>
      <c r="I4" s="39"/>
      <c r="J4" s="44"/>
      <c r="K4" s="39"/>
      <c r="O4" s="310"/>
      <c r="Q4" s="44"/>
      <c r="R4" s="39"/>
      <c r="S4" s="39"/>
      <c r="T4" s="39"/>
      <c r="U4" s="39"/>
      <c r="V4" s="39"/>
      <c r="W4" s="39"/>
      <c r="X4" s="44"/>
      <c r="Y4" s="45"/>
    </row>
    <row r="5" spans="1:25" ht="15.95" customHeight="1">
      <c r="A5" s="309" t="s">
        <v>11</v>
      </c>
      <c r="B5" s="43" t="s">
        <v>18</v>
      </c>
      <c r="C5" s="42"/>
      <c r="O5" s="310"/>
    </row>
    <row r="6" spans="1:25" s="48" customFormat="1" ht="15.95" customHeight="1">
      <c r="A6" s="356" t="s">
        <v>19</v>
      </c>
      <c r="B6" s="356" t="s">
        <v>353</v>
      </c>
      <c r="C6" s="351" t="s">
        <v>354</v>
      </c>
      <c r="D6" s="351" t="s">
        <v>355</v>
      </c>
      <c r="E6" s="350" t="s">
        <v>356</v>
      </c>
      <c r="F6" s="351" t="s">
        <v>357</v>
      </c>
      <c r="G6" s="352" t="s">
        <v>358</v>
      </c>
      <c r="H6" s="352" t="s">
        <v>359</v>
      </c>
      <c r="I6" s="356" t="s">
        <v>360</v>
      </c>
      <c r="J6" s="356"/>
      <c r="K6" s="356"/>
      <c r="L6" s="356"/>
      <c r="M6" s="356"/>
      <c r="N6" s="356"/>
      <c r="O6" s="351" t="s">
        <v>361</v>
      </c>
    </row>
    <row r="7" spans="1:25" s="48" customFormat="1" ht="15.95" customHeight="1">
      <c r="A7" s="356"/>
      <c r="B7" s="356"/>
      <c r="C7" s="351"/>
      <c r="D7" s="351"/>
      <c r="E7" s="350"/>
      <c r="F7" s="351"/>
      <c r="G7" s="352"/>
      <c r="H7" s="352"/>
      <c r="I7" s="49">
        <v>0.25</v>
      </c>
      <c r="J7" s="49">
        <v>0.375</v>
      </c>
      <c r="K7" s="49">
        <v>0.5</v>
      </c>
      <c r="L7" s="49">
        <v>0.625</v>
      </c>
      <c r="M7" s="49">
        <v>0.75</v>
      </c>
      <c r="N7" s="49">
        <v>1</v>
      </c>
      <c r="O7" s="351"/>
    </row>
    <row r="8" spans="1:25" ht="15.95" customHeight="1">
      <c r="A8" s="356"/>
      <c r="B8" s="356"/>
      <c r="C8" s="351"/>
      <c r="D8" s="351"/>
      <c r="E8" s="350"/>
      <c r="F8" s="351"/>
      <c r="G8" s="352"/>
      <c r="H8" s="352"/>
      <c r="I8" s="50">
        <v>0.25</v>
      </c>
      <c r="J8" s="50">
        <v>0.56000000000000005</v>
      </c>
      <c r="K8" s="50">
        <v>0.99</v>
      </c>
      <c r="L8" s="50">
        <v>1.55</v>
      </c>
      <c r="M8" s="50">
        <v>2.2400000000000002</v>
      </c>
      <c r="N8" s="50">
        <v>3.98</v>
      </c>
      <c r="O8" s="351"/>
    </row>
    <row r="9" spans="1:25" ht="15.95" customHeight="1">
      <c r="A9" s="291">
        <f>+'1.CDP'!A9</f>
        <v>1.1600999999999999</v>
      </c>
      <c r="B9" s="168" t="str">
        <f>+'1.CDP'!B9</f>
        <v>CAMARA DE DESAGUE</v>
      </c>
      <c r="C9" s="40"/>
      <c r="D9" s="51"/>
      <c r="E9" s="52"/>
      <c r="F9" s="53"/>
      <c r="G9" s="53"/>
      <c r="H9" s="53"/>
      <c r="I9" s="53"/>
      <c r="J9" s="53"/>
      <c r="K9" s="53"/>
      <c r="L9" s="53"/>
      <c r="M9" s="53"/>
      <c r="N9" s="53"/>
      <c r="O9" s="54"/>
    </row>
    <row r="10" spans="1:25" ht="15.95" customHeight="1">
      <c r="A10" s="292">
        <f>+'1.CDP'!A38</f>
        <v>1.1601049999999995</v>
      </c>
      <c r="B10" s="55" t="str">
        <f>+'1.CDP'!B38</f>
        <v>OBRAS DE CONCRETO ARMADO</v>
      </c>
      <c r="C10" s="41"/>
      <c r="D10" s="56"/>
      <c r="E10" s="57"/>
      <c r="F10" s="56"/>
      <c r="G10" s="56"/>
      <c r="H10" s="58"/>
      <c r="I10" s="59"/>
      <c r="J10" s="59"/>
      <c r="K10" s="59"/>
      <c r="L10" s="59"/>
      <c r="M10" s="59"/>
      <c r="N10" s="59"/>
      <c r="O10" s="60"/>
    </row>
    <row r="11" spans="1:25" ht="15.95" customHeight="1">
      <c r="A11" s="292">
        <f>+'1.CDP'!A45</f>
        <v>1.1601050399999993</v>
      </c>
      <c r="B11" s="55" t="str">
        <f>+'1.CDP'!B45</f>
        <v>Acero estruc. trabajado p/cuchilla</v>
      </c>
      <c r="C11" s="41"/>
      <c r="D11" s="56"/>
      <c r="E11" s="57"/>
      <c r="F11" s="56"/>
      <c r="G11" s="56"/>
      <c r="H11" s="58"/>
      <c r="I11" s="59"/>
      <c r="J11" s="59"/>
      <c r="K11" s="59"/>
      <c r="L11" s="59"/>
      <c r="M11" s="59"/>
      <c r="N11" s="59"/>
      <c r="O11" s="76">
        <f>SUM(O12:O14)</f>
        <v>195.90700000000001</v>
      </c>
    </row>
    <row r="12" spans="1:25" ht="15.95" customHeight="1">
      <c r="A12" s="289"/>
      <c r="B12" s="172" t="s">
        <v>362</v>
      </c>
      <c r="C12" s="44"/>
      <c r="D12" s="56">
        <v>1</v>
      </c>
      <c r="E12" s="57">
        <v>0.5</v>
      </c>
      <c r="F12" s="56">
        <v>2</v>
      </c>
      <c r="G12" s="56">
        <v>3.4</v>
      </c>
      <c r="H12" s="56">
        <f>+PRODUCT(D12,F12:G12)</f>
        <v>6.8</v>
      </c>
      <c r="I12" s="59">
        <f>+IF($D12&gt;0,IF(E12=I$7,D12*F12*G12,),)</f>
        <v>0</v>
      </c>
      <c r="J12" s="59">
        <f>+IF($D12&gt;0,IF(E12=J$7,D12*F12*G12,),)</f>
        <v>0</v>
      </c>
      <c r="K12" s="59">
        <f>+IF($D12&gt;0,IF(E12=K$7,D12*F12*G12,),)</f>
        <v>6.8</v>
      </c>
      <c r="L12" s="59">
        <f>+IF($D12&gt;0,IF(E12=L$7,D12*F12*G12,),)</f>
        <v>0</v>
      </c>
      <c r="M12" s="59">
        <f>+IF($D12&gt;0,IF(E12=M$7,D12*F12*G12,),)</f>
        <v>0</v>
      </c>
      <c r="N12" s="59">
        <f>+IF($D12&gt;0,IF(E12=N$7,D12*F12*G12,),)</f>
        <v>0</v>
      </c>
      <c r="O12" s="173">
        <f>+I12*I$8+J12*J$8+K12*K$8+L12*L$8+M12*M$8+N12*N$8</f>
        <v>6.7320000000000002</v>
      </c>
      <c r="Q12" s="174">
        <v>0</v>
      </c>
      <c r="R12" s="175">
        <f>ROUND(2*(((2.8^2)-(Q12^2))^(0.5)),2)</f>
        <v>5.6</v>
      </c>
    </row>
    <row r="13" spans="1:25" ht="15.95" customHeight="1">
      <c r="A13" s="289"/>
      <c r="B13" s="172" t="s">
        <v>363</v>
      </c>
      <c r="C13" s="39"/>
      <c r="D13" s="56">
        <v>1</v>
      </c>
      <c r="E13" s="57">
        <v>0.625</v>
      </c>
      <c r="F13" s="56">
        <v>4</v>
      </c>
      <c r="G13" s="56">
        <f>11.15+0.6</f>
        <v>11.75</v>
      </c>
      <c r="H13" s="56">
        <f>+PRODUCT(D13,F13:G13)</f>
        <v>47</v>
      </c>
      <c r="I13" s="59">
        <f>+IF($D13&gt;0,IF(E13=I$7,D13*F13*G13,),)</f>
        <v>0</v>
      </c>
      <c r="J13" s="59">
        <f>+IF($D13&gt;0,IF(E13=J$7,D13*F13*G13,),)</f>
        <v>0</v>
      </c>
      <c r="K13" s="59">
        <f>+IF($D13&gt;0,IF(E13=K$7,D13*F13*G13,),)</f>
        <v>0</v>
      </c>
      <c r="L13" s="59">
        <f>+IF($D13&gt;0,IF(E13=L$7,D13*F13*G13,),)</f>
        <v>47</v>
      </c>
      <c r="M13" s="59">
        <f>+IF($D13&gt;0,IF(E13=M$7,D13*F13*G13,),)</f>
        <v>0</v>
      </c>
      <c r="N13" s="59">
        <f>+IF($D13&gt;0,IF(E13=N$7,D13*F13*G13,),)</f>
        <v>0</v>
      </c>
      <c r="O13" s="173">
        <f>+I13*I$8+J13*J$8+K13*K$8+L13*L$8+M13*M$8+N13*N$8</f>
        <v>72.850000000000009</v>
      </c>
      <c r="Q13" s="174">
        <f>+Q12+0.25</f>
        <v>0.25</v>
      </c>
      <c r="R13" s="175">
        <f>ROUND(2*(((2.8^2)-(Q13^2))^(0.5)),2)</f>
        <v>5.58</v>
      </c>
    </row>
    <row r="14" spans="1:25" ht="15.95" customHeight="1">
      <c r="A14" s="289"/>
      <c r="B14" s="172" t="s">
        <v>364</v>
      </c>
      <c r="C14" s="39"/>
      <c r="D14" s="56">
        <v>1</v>
      </c>
      <c r="E14" s="57">
        <v>0.5</v>
      </c>
      <c r="F14" s="56">
        <v>10</v>
      </c>
      <c r="G14" s="56">
        <f>11.15+0.6</f>
        <v>11.75</v>
      </c>
      <c r="H14" s="56">
        <f>+PRODUCT(D14,F14:G14)</f>
        <v>117.5</v>
      </c>
      <c r="I14" s="59">
        <f>+IF($D14&gt;0,IF(E14=I$7,D14*F14*G14,),)</f>
        <v>0</v>
      </c>
      <c r="J14" s="59">
        <f>+IF($D14&gt;0,IF(E14=J$7,D14*F14*G14,),)</f>
        <v>0</v>
      </c>
      <c r="K14" s="59">
        <f>+IF($D14&gt;0,IF(E14=K$7,D14*F14*G14,),)</f>
        <v>117.5</v>
      </c>
      <c r="L14" s="59">
        <f>+IF($D14&gt;0,IF(E14=L$7,D14*F14*G14,),)</f>
        <v>0</v>
      </c>
      <c r="M14" s="59">
        <f>+IF($D14&gt;0,IF(E14=M$7,D14*F14*G14,),)</f>
        <v>0</v>
      </c>
      <c r="N14" s="59">
        <f>+IF($D14&gt;0,IF(E14=N$7,D14*F14*G14,),)</f>
        <v>0</v>
      </c>
      <c r="O14" s="173">
        <f>+I14*I$8+J14*J$8+K14*K$8+L14*L$8+M14*M$8+N14*N$8</f>
        <v>116.325</v>
      </c>
      <c r="Q14" s="174">
        <f>+Q13+0.25</f>
        <v>0.5</v>
      </c>
      <c r="R14" s="175">
        <f>ROUND(2*(((2.8^2)-(Q14^2))^(0.5)),2)</f>
        <v>5.51</v>
      </c>
    </row>
    <row r="15" spans="1:25" s="64" customFormat="1" ht="15.75" customHeight="1">
      <c r="A15" s="290">
        <f>+'1.CDP'!A49</f>
        <v>1.1601050599999991</v>
      </c>
      <c r="B15" s="75" t="str">
        <f>+'1.CDP'!B49</f>
        <v>Acero estruc. trabajado p/losas de fondo piso</v>
      </c>
      <c r="C15" s="41"/>
      <c r="D15" s="56"/>
      <c r="E15" s="57"/>
      <c r="F15" s="56"/>
      <c r="G15" s="56"/>
      <c r="H15" s="58"/>
      <c r="I15" s="59"/>
      <c r="J15" s="59"/>
      <c r="K15" s="59"/>
      <c r="L15" s="59"/>
      <c r="M15" s="59"/>
      <c r="N15" s="59"/>
      <c r="O15" s="76">
        <f>SUM(O16:O22)</f>
        <v>165.84479999999999</v>
      </c>
    </row>
    <row r="16" spans="1:25" ht="15.95" customHeight="1">
      <c r="A16" s="289"/>
      <c r="B16" s="172" t="s">
        <v>365</v>
      </c>
      <c r="C16" s="39"/>
      <c r="D16" s="56">
        <v>2</v>
      </c>
      <c r="E16" s="57">
        <v>0.5</v>
      </c>
      <c r="F16" s="56">
        <v>2</v>
      </c>
      <c r="G16" s="56">
        <v>4.0999999999999996</v>
      </c>
      <c r="H16" s="56">
        <f t="shared" ref="H16:H22" si="0">+PRODUCT(D16,F16:G16)</f>
        <v>16.399999999999999</v>
      </c>
      <c r="I16" s="59">
        <f t="shared" ref="I16:I22" si="1">+IF($D16&gt;0,IF(E16=I$7,D16*F16*G16,),)</f>
        <v>0</v>
      </c>
      <c r="J16" s="59">
        <f t="shared" ref="J16:J22" si="2">+IF($D16&gt;0,IF(E16=J$7,D16*F16*G16,),)</f>
        <v>0</v>
      </c>
      <c r="K16" s="59">
        <f t="shared" ref="K16:K22" si="3">+IF($D16&gt;0,IF(E16=K$7,D16*F16*G16,),)</f>
        <v>16.399999999999999</v>
      </c>
      <c r="L16" s="59">
        <f t="shared" ref="L16:L22" si="4">+IF($D16&gt;0,IF(E16=L$7,D16*F16*G16,),)</f>
        <v>0</v>
      </c>
      <c r="M16" s="59">
        <f t="shared" ref="M16:M22" si="5">+IF($D16&gt;0,IF(E16=M$7,D16*F16*G16,),)</f>
        <v>0</v>
      </c>
      <c r="N16" s="59">
        <f t="shared" ref="N16:N22" si="6">+IF($D16&gt;0,IF(E16=N$7,D16*F16*G16,),)</f>
        <v>0</v>
      </c>
      <c r="O16" s="173">
        <f t="shared" ref="O16:O22" si="7">+I16*I$8+J16*J$8+K16*K$8+L16*L$8+M16*M$8+N16*N$8</f>
        <v>16.235999999999997</v>
      </c>
      <c r="Q16" s="174">
        <v>0</v>
      </c>
      <c r="R16" s="175">
        <f>ROUND(2*(((1.5^2)-(Q16^2))^(0.5)),2)</f>
        <v>3</v>
      </c>
      <c r="S16" s="44">
        <f t="shared" ref="S16:S22" si="8">+R16+1.1</f>
        <v>4.0999999999999996</v>
      </c>
    </row>
    <row r="17" spans="1:19" ht="15.95" customHeight="1">
      <c r="A17" s="289"/>
      <c r="B17" s="172" t="s">
        <v>365</v>
      </c>
      <c r="C17" s="39"/>
      <c r="D17" s="56">
        <v>2</v>
      </c>
      <c r="E17" s="57">
        <v>0.5</v>
      </c>
      <c r="F17" s="56">
        <v>4</v>
      </c>
      <c r="G17" s="56">
        <v>4.0600000000000005</v>
      </c>
      <c r="H17" s="56">
        <f t="shared" si="0"/>
        <v>32.480000000000004</v>
      </c>
      <c r="I17" s="59">
        <f t="shared" si="1"/>
        <v>0</v>
      </c>
      <c r="J17" s="59">
        <f t="shared" si="2"/>
        <v>0</v>
      </c>
      <c r="K17" s="59">
        <f t="shared" si="3"/>
        <v>32.480000000000004</v>
      </c>
      <c r="L17" s="59">
        <f t="shared" si="4"/>
        <v>0</v>
      </c>
      <c r="M17" s="59">
        <f t="shared" si="5"/>
        <v>0</v>
      </c>
      <c r="N17" s="59">
        <f t="shared" si="6"/>
        <v>0</v>
      </c>
      <c r="O17" s="173">
        <f t="shared" si="7"/>
        <v>32.155200000000001</v>
      </c>
      <c r="Q17" s="174">
        <f t="shared" ref="Q17:Q22" si="9">+Q16+0.25</f>
        <v>0.25</v>
      </c>
      <c r="R17" s="175">
        <f t="shared" ref="R17:R22" si="10">ROUND(2*(((1.5^2)-(Q17^2))^(0.5)),2)</f>
        <v>2.96</v>
      </c>
      <c r="S17" s="44">
        <f t="shared" si="8"/>
        <v>4.0600000000000005</v>
      </c>
    </row>
    <row r="18" spans="1:19" ht="15.95" customHeight="1">
      <c r="A18" s="289"/>
      <c r="B18" s="172" t="s">
        <v>365</v>
      </c>
      <c r="C18" s="39"/>
      <c r="D18" s="56">
        <v>2</v>
      </c>
      <c r="E18" s="57">
        <v>0.5</v>
      </c>
      <c r="F18" s="56">
        <v>4</v>
      </c>
      <c r="G18" s="56">
        <v>3.93</v>
      </c>
      <c r="H18" s="56">
        <f t="shared" si="0"/>
        <v>31.44</v>
      </c>
      <c r="I18" s="59">
        <f t="shared" si="1"/>
        <v>0</v>
      </c>
      <c r="J18" s="59">
        <f t="shared" si="2"/>
        <v>0</v>
      </c>
      <c r="K18" s="59">
        <f t="shared" si="3"/>
        <v>31.44</v>
      </c>
      <c r="L18" s="59">
        <f t="shared" si="4"/>
        <v>0</v>
      </c>
      <c r="M18" s="59">
        <f t="shared" si="5"/>
        <v>0</v>
      </c>
      <c r="N18" s="59">
        <f t="shared" si="6"/>
        <v>0</v>
      </c>
      <c r="O18" s="173">
        <f t="shared" si="7"/>
        <v>31.125600000000002</v>
      </c>
      <c r="Q18" s="174">
        <f t="shared" si="9"/>
        <v>0.5</v>
      </c>
      <c r="R18" s="175">
        <f t="shared" si="10"/>
        <v>2.83</v>
      </c>
      <c r="S18" s="44">
        <f t="shared" si="8"/>
        <v>3.93</v>
      </c>
    </row>
    <row r="19" spans="1:19" ht="15.95" customHeight="1">
      <c r="A19" s="289"/>
      <c r="B19" s="172" t="s">
        <v>365</v>
      </c>
      <c r="C19" s="39"/>
      <c r="D19" s="56">
        <v>2</v>
      </c>
      <c r="E19" s="57">
        <v>0.5</v>
      </c>
      <c r="F19" s="56">
        <v>4</v>
      </c>
      <c r="G19" s="56">
        <v>3.7</v>
      </c>
      <c r="H19" s="56">
        <f t="shared" si="0"/>
        <v>29.6</v>
      </c>
      <c r="I19" s="59">
        <f t="shared" si="1"/>
        <v>0</v>
      </c>
      <c r="J19" s="59">
        <f t="shared" si="2"/>
        <v>0</v>
      </c>
      <c r="K19" s="59">
        <f t="shared" si="3"/>
        <v>29.6</v>
      </c>
      <c r="L19" s="59">
        <f t="shared" si="4"/>
        <v>0</v>
      </c>
      <c r="M19" s="59">
        <f t="shared" si="5"/>
        <v>0</v>
      </c>
      <c r="N19" s="59">
        <f t="shared" si="6"/>
        <v>0</v>
      </c>
      <c r="O19" s="173">
        <f t="shared" si="7"/>
        <v>29.304000000000002</v>
      </c>
      <c r="Q19" s="174">
        <f t="shared" si="9"/>
        <v>0.75</v>
      </c>
      <c r="R19" s="175">
        <f t="shared" si="10"/>
        <v>2.6</v>
      </c>
      <c r="S19" s="44">
        <f t="shared" si="8"/>
        <v>3.7</v>
      </c>
    </row>
    <row r="20" spans="1:19" ht="15.95" customHeight="1">
      <c r="A20" s="289"/>
      <c r="B20" s="172" t="s">
        <v>365</v>
      </c>
      <c r="C20" s="39"/>
      <c r="D20" s="56">
        <v>2</v>
      </c>
      <c r="E20" s="57">
        <v>0.5</v>
      </c>
      <c r="F20" s="56">
        <v>4</v>
      </c>
      <c r="G20" s="56">
        <v>3.3400000000000003</v>
      </c>
      <c r="H20" s="56">
        <f t="shared" si="0"/>
        <v>26.720000000000002</v>
      </c>
      <c r="I20" s="59">
        <f t="shared" si="1"/>
        <v>0</v>
      </c>
      <c r="J20" s="59">
        <f t="shared" si="2"/>
        <v>0</v>
      </c>
      <c r="K20" s="59">
        <f t="shared" si="3"/>
        <v>26.720000000000002</v>
      </c>
      <c r="L20" s="59">
        <f t="shared" si="4"/>
        <v>0</v>
      </c>
      <c r="M20" s="59">
        <f t="shared" si="5"/>
        <v>0</v>
      </c>
      <c r="N20" s="59">
        <f t="shared" si="6"/>
        <v>0</v>
      </c>
      <c r="O20" s="173">
        <f t="shared" si="7"/>
        <v>26.452800000000003</v>
      </c>
      <c r="Q20" s="174">
        <f t="shared" si="9"/>
        <v>1</v>
      </c>
      <c r="R20" s="175">
        <f t="shared" si="10"/>
        <v>2.2400000000000002</v>
      </c>
      <c r="S20" s="44">
        <f t="shared" si="8"/>
        <v>3.3400000000000003</v>
      </c>
    </row>
    <row r="21" spans="1:19" ht="15.95" customHeight="1">
      <c r="A21" s="289"/>
      <c r="B21" s="172" t="s">
        <v>365</v>
      </c>
      <c r="C21" s="39"/>
      <c r="D21" s="56">
        <v>2</v>
      </c>
      <c r="E21" s="57">
        <v>0.5</v>
      </c>
      <c r="F21" s="56">
        <v>4</v>
      </c>
      <c r="G21" s="56">
        <v>2.76</v>
      </c>
      <c r="H21" s="56">
        <f t="shared" si="0"/>
        <v>22.08</v>
      </c>
      <c r="I21" s="59">
        <f t="shared" si="1"/>
        <v>0</v>
      </c>
      <c r="J21" s="59">
        <f t="shared" si="2"/>
        <v>0</v>
      </c>
      <c r="K21" s="59">
        <f t="shared" si="3"/>
        <v>22.08</v>
      </c>
      <c r="L21" s="59">
        <f t="shared" si="4"/>
        <v>0</v>
      </c>
      <c r="M21" s="59">
        <f t="shared" si="5"/>
        <v>0</v>
      </c>
      <c r="N21" s="59">
        <f t="shared" si="6"/>
        <v>0</v>
      </c>
      <c r="O21" s="173">
        <f t="shared" si="7"/>
        <v>21.859199999999998</v>
      </c>
      <c r="Q21" s="174">
        <f t="shared" si="9"/>
        <v>1.25</v>
      </c>
      <c r="R21" s="175">
        <f t="shared" si="10"/>
        <v>1.66</v>
      </c>
      <c r="S21" s="44">
        <f t="shared" si="8"/>
        <v>2.76</v>
      </c>
    </row>
    <row r="22" spans="1:19" ht="15.95" customHeight="1">
      <c r="A22" s="289"/>
      <c r="B22" s="172" t="s">
        <v>365</v>
      </c>
      <c r="C22" s="39"/>
      <c r="D22" s="56">
        <v>2</v>
      </c>
      <c r="E22" s="57">
        <v>0.5</v>
      </c>
      <c r="F22" s="56">
        <v>4</v>
      </c>
      <c r="G22" s="56">
        <v>1.1000000000000001</v>
      </c>
      <c r="H22" s="56">
        <f t="shared" si="0"/>
        <v>8.8000000000000007</v>
      </c>
      <c r="I22" s="59">
        <f t="shared" si="1"/>
        <v>0</v>
      </c>
      <c r="J22" s="59">
        <f t="shared" si="2"/>
        <v>0</v>
      </c>
      <c r="K22" s="59">
        <f t="shared" si="3"/>
        <v>8.8000000000000007</v>
      </c>
      <c r="L22" s="59">
        <f t="shared" si="4"/>
        <v>0</v>
      </c>
      <c r="M22" s="59">
        <f t="shared" si="5"/>
        <v>0</v>
      </c>
      <c r="N22" s="59">
        <f t="shared" si="6"/>
        <v>0</v>
      </c>
      <c r="O22" s="173">
        <f t="shared" si="7"/>
        <v>8.7119999999999997</v>
      </c>
      <c r="Q22" s="174">
        <f t="shared" si="9"/>
        <v>1.5</v>
      </c>
      <c r="R22" s="175">
        <f t="shared" si="10"/>
        <v>0</v>
      </c>
      <c r="S22" s="44">
        <f t="shared" si="8"/>
        <v>1.1000000000000001</v>
      </c>
    </row>
    <row r="23" spans="1:19" s="64" customFormat="1" ht="15.75" customHeight="1">
      <c r="A23" s="290">
        <f>+'1.CDP'!A60</f>
        <v>1.160105089999999</v>
      </c>
      <c r="B23" s="75" t="str">
        <f>+'1.CDP'!B60</f>
        <v>Acero estruc. trabajado p/muros</v>
      </c>
      <c r="C23" s="41"/>
      <c r="D23" s="56"/>
      <c r="E23" s="57"/>
      <c r="F23" s="56"/>
      <c r="G23" s="56"/>
      <c r="H23" s="58"/>
      <c r="I23" s="59"/>
      <c r="J23" s="59"/>
      <c r="K23" s="59"/>
      <c r="L23" s="59"/>
      <c r="M23" s="59"/>
      <c r="N23" s="59"/>
      <c r="O23" s="76">
        <f>SUM(O24:O30)</f>
        <v>1106.4987999999998</v>
      </c>
    </row>
    <row r="24" spans="1:19" s="64" customFormat="1" ht="15.75" customHeight="1">
      <c r="A24" s="290"/>
      <c r="B24" s="171" t="s">
        <v>366</v>
      </c>
      <c r="C24" s="39"/>
      <c r="D24" s="56">
        <v>2</v>
      </c>
      <c r="E24" s="57">
        <v>0.5</v>
      </c>
      <c r="F24" s="56">
        <v>40</v>
      </c>
      <c r="G24" s="56">
        <v>5.35</v>
      </c>
      <c r="H24" s="58">
        <f t="shared" ref="H24:H30" si="11">+F24*G24*D24</f>
        <v>428</v>
      </c>
      <c r="I24" s="59">
        <f t="shared" ref="I24:I30" si="12">+IF($D24&gt;0,IF(E24=I$7,D24*F24*G24,),)</f>
        <v>0</v>
      </c>
      <c r="J24" s="59">
        <f t="shared" ref="J24:J30" si="13">+IF($D24&gt;0,IF(E24=J$7,D24*F24*G24,),)</f>
        <v>0</v>
      </c>
      <c r="K24" s="59">
        <f t="shared" ref="K24:K30" si="14">+IF($D24&gt;0,IF(E24=K$7,D24*F24*G24,),)</f>
        <v>428</v>
      </c>
      <c r="L24" s="59">
        <f t="shared" ref="L24:L30" si="15">+IF($D24&gt;0,IF(E24=L$7,D24*F24*G24,),)</f>
        <v>0</v>
      </c>
      <c r="M24" s="59">
        <f t="shared" ref="M24:M30" si="16">+IF($D24&gt;0,IF(E24=M$7,D24*F24*G24,),)</f>
        <v>0</v>
      </c>
      <c r="N24" s="59">
        <f t="shared" ref="N24:N30" si="17">+IF($D24&gt;0,IF(E24=N$7,D24*F24*G24,),)</f>
        <v>0</v>
      </c>
      <c r="O24" s="60">
        <f t="shared" ref="O24:O30" si="18">+I24*I$8+J24*J$8+K24*K$8+L24*L$8+M24*M$8+N24*N$8</f>
        <v>423.71999999999997</v>
      </c>
    </row>
    <row r="25" spans="1:19" s="64" customFormat="1" ht="15.75" customHeight="1">
      <c r="A25" s="290"/>
      <c r="B25" s="171" t="s">
        <v>367</v>
      </c>
      <c r="C25" s="39"/>
      <c r="D25" s="56">
        <v>2</v>
      </c>
      <c r="E25" s="57">
        <v>0.5</v>
      </c>
      <c r="F25" s="56">
        <v>10</v>
      </c>
      <c r="G25" s="56">
        <v>5.21</v>
      </c>
      <c r="H25" s="58">
        <f t="shared" si="11"/>
        <v>104.2</v>
      </c>
      <c r="I25" s="59">
        <f t="shared" si="12"/>
        <v>0</v>
      </c>
      <c r="J25" s="59">
        <f t="shared" si="13"/>
        <v>0</v>
      </c>
      <c r="K25" s="59">
        <f t="shared" si="14"/>
        <v>104.2</v>
      </c>
      <c r="L25" s="59">
        <f t="shared" si="15"/>
        <v>0</v>
      </c>
      <c r="M25" s="59">
        <f t="shared" si="16"/>
        <v>0</v>
      </c>
      <c r="N25" s="59">
        <f t="shared" si="17"/>
        <v>0</v>
      </c>
      <c r="O25" s="60">
        <f t="shared" si="18"/>
        <v>103.158</v>
      </c>
    </row>
    <row r="26" spans="1:19" s="64" customFormat="1" ht="15.75" customHeight="1">
      <c r="A26" s="290"/>
      <c r="B26" s="171" t="s">
        <v>368</v>
      </c>
      <c r="C26" s="39"/>
      <c r="D26" s="56">
        <v>1</v>
      </c>
      <c r="E26" s="57">
        <v>0.5</v>
      </c>
      <c r="F26" s="56">
        <v>18</v>
      </c>
      <c r="G26" s="56">
        <f>9.99+2*0.6</f>
        <v>11.19</v>
      </c>
      <c r="H26" s="58">
        <f t="shared" si="11"/>
        <v>201.42</v>
      </c>
      <c r="I26" s="59">
        <f t="shared" si="12"/>
        <v>0</v>
      </c>
      <c r="J26" s="59">
        <f t="shared" si="13"/>
        <v>0</v>
      </c>
      <c r="K26" s="59">
        <f t="shared" si="14"/>
        <v>201.42</v>
      </c>
      <c r="L26" s="59">
        <f t="shared" si="15"/>
        <v>0</v>
      </c>
      <c r="M26" s="59">
        <f t="shared" si="16"/>
        <v>0</v>
      </c>
      <c r="N26" s="59">
        <f t="shared" si="17"/>
        <v>0</v>
      </c>
      <c r="O26" s="60">
        <f t="shared" si="18"/>
        <v>199.4058</v>
      </c>
    </row>
    <row r="27" spans="1:19" s="64" customFormat="1" ht="15.75" customHeight="1">
      <c r="A27" s="290"/>
      <c r="B27" s="171" t="s">
        <v>369</v>
      </c>
      <c r="C27" s="39"/>
      <c r="D27" s="56">
        <v>1</v>
      </c>
      <c r="E27" s="57">
        <v>0.5</v>
      </c>
      <c r="F27" s="56">
        <v>18</v>
      </c>
      <c r="G27" s="56">
        <f>11.06+2*0.6</f>
        <v>12.26</v>
      </c>
      <c r="H27" s="58">
        <f t="shared" si="11"/>
        <v>220.68</v>
      </c>
      <c r="I27" s="59">
        <f t="shared" si="12"/>
        <v>0</v>
      </c>
      <c r="J27" s="59">
        <f t="shared" si="13"/>
        <v>0</v>
      </c>
      <c r="K27" s="59">
        <f t="shared" si="14"/>
        <v>220.68</v>
      </c>
      <c r="L27" s="59">
        <f t="shared" si="15"/>
        <v>0</v>
      </c>
      <c r="M27" s="59">
        <f t="shared" si="16"/>
        <v>0</v>
      </c>
      <c r="N27" s="59">
        <f t="shared" si="17"/>
        <v>0</v>
      </c>
      <c r="O27" s="60">
        <f t="shared" si="18"/>
        <v>218.47319999999999</v>
      </c>
    </row>
    <row r="28" spans="1:19" s="64" customFormat="1" ht="15.75" customHeight="1">
      <c r="A28" s="290"/>
      <c r="B28" s="171" t="s">
        <v>370</v>
      </c>
      <c r="C28" s="39"/>
      <c r="D28" s="56">
        <v>2</v>
      </c>
      <c r="E28" s="57">
        <v>0.5</v>
      </c>
      <c r="F28" s="56">
        <v>15</v>
      </c>
      <c r="G28" s="56">
        <v>4.05</v>
      </c>
      <c r="H28" s="58">
        <f t="shared" si="11"/>
        <v>121.5</v>
      </c>
      <c r="I28" s="59">
        <f t="shared" si="12"/>
        <v>0</v>
      </c>
      <c r="J28" s="59">
        <f t="shared" si="13"/>
        <v>0</v>
      </c>
      <c r="K28" s="59">
        <f t="shared" si="14"/>
        <v>121.5</v>
      </c>
      <c r="L28" s="59">
        <f t="shared" si="15"/>
        <v>0</v>
      </c>
      <c r="M28" s="59">
        <f t="shared" si="16"/>
        <v>0</v>
      </c>
      <c r="N28" s="59">
        <f t="shared" si="17"/>
        <v>0</v>
      </c>
      <c r="O28" s="60">
        <f t="shared" si="18"/>
        <v>120.285</v>
      </c>
    </row>
    <row r="29" spans="1:19" s="64" customFormat="1" ht="15.75" customHeight="1">
      <c r="A29" s="290"/>
      <c r="B29" s="171" t="s">
        <v>371</v>
      </c>
      <c r="C29" s="39"/>
      <c r="D29" s="56">
        <v>1</v>
      </c>
      <c r="E29" s="57">
        <v>0.375</v>
      </c>
      <c r="F29" s="56">
        <v>11</v>
      </c>
      <c r="G29" s="56">
        <v>3.23</v>
      </c>
      <c r="H29" s="58">
        <f t="shared" si="11"/>
        <v>35.53</v>
      </c>
      <c r="I29" s="59">
        <f t="shared" si="12"/>
        <v>0</v>
      </c>
      <c r="J29" s="59">
        <f t="shared" si="13"/>
        <v>35.53</v>
      </c>
      <c r="K29" s="59">
        <f t="shared" si="14"/>
        <v>0</v>
      </c>
      <c r="L29" s="59">
        <f t="shared" si="15"/>
        <v>0</v>
      </c>
      <c r="M29" s="59">
        <f t="shared" si="16"/>
        <v>0</v>
      </c>
      <c r="N29" s="59">
        <f t="shared" si="17"/>
        <v>0</v>
      </c>
      <c r="O29" s="60">
        <f t="shared" si="18"/>
        <v>19.896800000000002</v>
      </c>
    </row>
    <row r="30" spans="1:19" s="65" customFormat="1" ht="15.75" customHeight="1">
      <c r="A30" s="290"/>
      <c r="B30" s="171" t="s">
        <v>371</v>
      </c>
      <c r="C30" s="39"/>
      <c r="D30" s="56">
        <v>1</v>
      </c>
      <c r="E30" s="57">
        <v>0.375</v>
      </c>
      <c r="F30" s="56">
        <v>11</v>
      </c>
      <c r="G30" s="56">
        <f>3+2*0.25</f>
        <v>3.5</v>
      </c>
      <c r="H30" s="58">
        <f t="shared" si="11"/>
        <v>38.5</v>
      </c>
      <c r="I30" s="59">
        <f t="shared" si="12"/>
        <v>0</v>
      </c>
      <c r="J30" s="59">
        <f t="shared" si="13"/>
        <v>38.5</v>
      </c>
      <c r="K30" s="59">
        <f t="shared" si="14"/>
        <v>0</v>
      </c>
      <c r="L30" s="59">
        <f t="shared" si="15"/>
        <v>0</v>
      </c>
      <c r="M30" s="59">
        <f t="shared" si="16"/>
        <v>0</v>
      </c>
      <c r="N30" s="59">
        <f t="shared" si="17"/>
        <v>0</v>
      </c>
      <c r="O30" s="60">
        <f t="shared" si="18"/>
        <v>21.560000000000002</v>
      </c>
    </row>
    <row r="31" spans="1:19" s="64" customFormat="1" ht="15.75" customHeight="1">
      <c r="A31" s="290">
        <f>+'1.CDP'!A71</f>
        <v>1.1601051199999988</v>
      </c>
      <c r="B31" s="75" t="str">
        <f>+'1.CDP'!B71</f>
        <v>Acero estruc. trabajado p/losa maciza (costo prom. incl. Desperdicios)</v>
      </c>
      <c r="C31" s="41"/>
      <c r="D31" s="56"/>
      <c r="E31" s="57"/>
      <c r="F31" s="56"/>
      <c r="G31" s="56"/>
      <c r="H31" s="58"/>
      <c r="I31" s="59"/>
      <c r="J31" s="59"/>
      <c r="K31" s="59"/>
      <c r="L31" s="59"/>
      <c r="M31" s="59"/>
      <c r="N31" s="59"/>
      <c r="O31" s="76">
        <f>SUM(O32:O41)</f>
        <v>214.1568</v>
      </c>
    </row>
    <row r="32" spans="1:19" ht="15.75" customHeight="1">
      <c r="A32" s="289"/>
      <c r="B32" s="172" t="s">
        <v>41</v>
      </c>
      <c r="C32" s="39"/>
      <c r="D32" s="56">
        <v>2</v>
      </c>
      <c r="E32" s="57">
        <v>0.5</v>
      </c>
      <c r="F32" s="56">
        <v>2</v>
      </c>
      <c r="G32" s="56">
        <v>3.7</v>
      </c>
      <c r="H32" s="56">
        <f t="shared" ref="H32:H41" si="19">+PRODUCT(D32,F32:G32)</f>
        <v>14.8</v>
      </c>
      <c r="I32" s="59">
        <f t="shared" ref="I32:I41" si="20">+IF($D32&gt;0,IF(E32=I$7,D32*F32*G32,),)</f>
        <v>0</v>
      </c>
      <c r="J32" s="59">
        <f t="shared" ref="J32:J41" si="21">+IF($D32&gt;0,IF(E32=J$7,D32*F32*G32,),)</f>
        <v>0</v>
      </c>
      <c r="K32" s="59">
        <f t="shared" ref="K32:K41" si="22">+IF($D32&gt;0,IF(E32=K$7,D32*F32*G32,),)</f>
        <v>14.8</v>
      </c>
      <c r="L32" s="59">
        <f t="shared" ref="L32:L41" si="23">+IF($D32&gt;0,IF(E32=L$7,D32*F32*G32,),)</f>
        <v>0</v>
      </c>
      <c r="M32" s="59">
        <f t="shared" ref="M32:M41" si="24">+IF($D32&gt;0,IF(E32=M$7,D32*F32*G32,),)</f>
        <v>0</v>
      </c>
      <c r="N32" s="59">
        <f t="shared" ref="N32:N41" si="25">+IF($D32&gt;0,IF(E32=N$7,D32*F32*G32,),)</f>
        <v>0</v>
      </c>
      <c r="O32" s="173">
        <f t="shared" ref="O32:O41" si="26">+I32*I$8+J32*J$8+K32*K$8+L32*L$8+M32*M$8+N32*N$8</f>
        <v>14.652000000000001</v>
      </c>
      <c r="Q32" s="174">
        <v>0</v>
      </c>
      <c r="R32" s="175">
        <f>ROUND(2*(((1.85^2)-(Q32^2))^(0.5)),2)</f>
        <v>3.7</v>
      </c>
    </row>
    <row r="33" spans="1:18" ht="15.95" customHeight="1">
      <c r="A33" s="289"/>
      <c r="B33" s="172" t="s">
        <v>41</v>
      </c>
      <c r="C33" s="39"/>
      <c r="D33" s="56">
        <v>2</v>
      </c>
      <c r="E33" s="57">
        <v>0.5</v>
      </c>
      <c r="F33" s="56">
        <v>4</v>
      </c>
      <c r="G33" s="56">
        <v>3.68</v>
      </c>
      <c r="H33" s="56">
        <f t="shared" si="19"/>
        <v>29.44</v>
      </c>
      <c r="I33" s="59">
        <f t="shared" si="20"/>
        <v>0</v>
      </c>
      <c r="J33" s="59">
        <f t="shared" si="21"/>
        <v>0</v>
      </c>
      <c r="K33" s="59">
        <f t="shared" si="22"/>
        <v>29.44</v>
      </c>
      <c r="L33" s="59">
        <f t="shared" si="23"/>
        <v>0</v>
      </c>
      <c r="M33" s="59">
        <f t="shared" si="24"/>
        <v>0</v>
      </c>
      <c r="N33" s="59">
        <f t="shared" si="25"/>
        <v>0</v>
      </c>
      <c r="O33" s="173">
        <f t="shared" si="26"/>
        <v>29.145600000000002</v>
      </c>
      <c r="Q33" s="174">
        <f t="shared" ref="Q33:Q41" si="27">+Q32+0.2</f>
        <v>0.2</v>
      </c>
      <c r="R33" s="175">
        <f t="shared" ref="R33:R41" si="28">ROUND(2*(((1.85^2)-(Q33^2))^(0.5)),2)</f>
        <v>3.68</v>
      </c>
    </row>
    <row r="34" spans="1:18" ht="15.95" customHeight="1">
      <c r="A34" s="289"/>
      <c r="B34" s="172" t="s">
        <v>41</v>
      </c>
      <c r="C34" s="39"/>
      <c r="D34" s="56">
        <v>2</v>
      </c>
      <c r="E34" s="57">
        <v>0.5</v>
      </c>
      <c r="F34" s="56">
        <v>4</v>
      </c>
      <c r="G34" s="56">
        <v>3.61</v>
      </c>
      <c r="H34" s="56">
        <f t="shared" si="19"/>
        <v>28.88</v>
      </c>
      <c r="I34" s="59">
        <f t="shared" si="20"/>
        <v>0</v>
      </c>
      <c r="J34" s="59">
        <f t="shared" si="21"/>
        <v>0</v>
      </c>
      <c r="K34" s="59">
        <f t="shared" si="22"/>
        <v>28.88</v>
      </c>
      <c r="L34" s="59">
        <f t="shared" si="23"/>
        <v>0</v>
      </c>
      <c r="M34" s="59">
        <f t="shared" si="24"/>
        <v>0</v>
      </c>
      <c r="N34" s="59">
        <f t="shared" si="25"/>
        <v>0</v>
      </c>
      <c r="O34" s="173">
        <f t="shared" si="26"/>
        <v>28.591199999999997</v>
      </c>
      <c r="Q34" s="174">
        <f t="shared" si="27"/>
        <v>0.4</v>
      </c>
      <c r="R34" s="175">
        <f t="shared" si="28"/>
        <v>3.61</v>
      </c>
    </row>
    <row r="35" spans="1:18" ht="15.95" customHeight="1">
      <c r="A35" s="289"/>
      <c r="B35" s="172" t="s">
        <v>41</v>
      </c>
      <c r="C35" s="39"/>
      <c r="D35" s="56">
        <v>2</v>
      </c>
      <c r="E35" s="57">
        <v>0.5</v>
      </c>
      <c r="F35" s="56">
        <v>4</v>
      </c>
      <c r="G35" s="56">
        <v>3.5</v>
      </c>
      <c r="H35" s="56">
        <f t="shared" si="19"/>
        <v>28</v>
      </c>
      <c r="I35" s="59">
        <f t="shared" si="20"/>
        <v>0</v>
      </c>
      <c r="J35" s="59">
        <f t="shared" si="21"/>
        <v>0</v>
      </c>
      <c r="K35" s="59">
        <f t="shared" si="22"/>
        <v>28</v>
      </c>
      <c r="L35" s="59">
        <f t="shared" si="23"/>
        <v>0</v>
      </c>
      <c r="M35" s="59">
        <f t="shared" si="24"/>
        <v>0</v>
      </c>
      <c r="N35" s="59">
        <f t="shared" si="25"/>
        <v>0</v>
      </c>
      <c r="O35" s="173">
        <f t="shared" si="26"/>
        <v>27.72</v>
      </c>
      <c r="Q35" s="174">
        <f t="shared" si="27"/>
        <v>0.60000000000000009</v>
      </c>
      <c r="R35" s="175">
        <f t="shared" si="28"/>
        <v>3.5</v>
      </c>
    </row>
    <row r="36" spans="1:18" ht="15.95" customHeight="1">
      <c r="A36" s="289"/>
      <c r="B36" s="172" t="s">
        <v>41</v>
      </c>
      <c r="C36" s="39"/>
      <c r="D36" s="56">
        <v>2</v>
      </c>
      <c r="E36" s="57">
        <v>0.5</v>
      </c>
      <c r="F36" s="56">
        <v>4</v>
      </c>
      <c r="G36" s="56">
        <v>3.34</v>
      </c>
      <c r="H36" s="56">
        <f t="shared" si="19"/>
        <v>26.72</v>
      </c>
      <c r="I36" s="59">
        <f t="shared" si="20"/>
        <v>0</v>
      </c>
      <c r="J36" s="59">
        <f t="shared" si="21"/>
        <v>0</v>
      </c>
      <c r="K36" s="59">
        <f t="shared" si="22"/>
        <v>26.72</v>
      </c>
      <c r="L36" s="59">
        <f t="shared" si="23"/>
        <v>0</v>
      </c>
      <c r="M36" s="59">
        <f t="shared" si="24"/>
        <v>0</v>
      </c>
      <c r="N36" s="59">
        <f t="shared" si="25"/>
        <v>0</v>
      </c>
      <c r="O36" s="173">
        <f t="shared" si="26"/>
        <v>26.4528</v>
      </c>
      <c r="Q36" s="174">
        <f t="shared" si="27"/>
        <v>0.8</v>
      </c>
      <c r="R36" s="175">
        <f t="shared" si="28"/>
        <v>3.34</v>
      </c>
    </row>
    <row r="37" spans="1:18" ht="15.95" customHeight="1">
      <c r="A37" s="289"/>
      <c r="B37" s="172" t="s">
        <v>41</v>
      </c>
      <c r="C37" s="39"/>
      <c r="D37" s="56">
        <v>2</v>
      </c>
      <c r="E37" s="57">
        <v>0.5</v>
      </c>
      <c r="F37" s="56">
        <v>4</v>
      </c>
      <c r="G37" s="56">
        <v>3.11</v>
      </c>
      <c r="H37" s="56">
        <f t="shared" si="19"/>
        <v>24.88</v>
      </c>
      <c r="I37" s="59">
        <f t="shared" si="20"/>
        <v>0</v>
      </c>
      <c r="J37" s="59">
        <f t="shared" si="21"/>
        <v>0</v>
      </c>
      <c r="K37" s="59">
        <f t="shared" si="22"/>
        <v>24.88</v>
      </c>
      <c r="L37" s="59">
        <f t="shared" si="23"/>
        <v>0</v>
      </c>
      <c r="M37" s="59">
        <f t="shared" si="24"/>
        <v>0</v>
      </c>
      <c r="N37" s="59">
        <f t="shared" si="25"/>
        <v>0</v>
      </c>
      <c r="O37" s="173">
        <f t="shared" si="26"/>
        <v>24.6312</v>
      </c>
      <c r="Q37" s="174">
        <f t="shared" si="27"/>
        <v>1</v>
      </c>
      <c r="R37" s="175">
        <f t="shared" si="28"/>
        <v>3.11</v>
      </c>
    </row>
    <row r="38" spans="1:18" ht="15.95" customHeight="1">
      <c r="A38" s="289"/>
      <c r="B38" s="172" t="s">
        <v>41</v>
      </c>
      <c r="C38" s="39"/>
      <c r="D38" s="56">
        <v>2</v>
      </c>
      <c r="E38" s="57">
        <v>0.5</v>
      </c>
      <c r="F38" s="56">
        <v>4</v>
      </c>
      <c r="G38" s="56">
        <v>2.82</v>
      </c>
      <c r="H38" s="56">
        <f t="shared" si="19"/>
        <v>22.56</v>
      </c>
      <c r="I38" s="59">
        <f t="shared" si="20"/>
        <v>0</v>
      </c>
      <c r="J38" s="59">
        <f t="shared" si="21"/>
        <v>0</v>
      </c>
      <c r="K38" s="59">
        <f t="shared" si="22"/>
        <v>22.56</v>
      </c>
      <c r="L38" s="59">
        <f t="shared" si="23"/>
        <v>0</v>
      </c>
      <c r="M38" s="59">
        <f t="shared" si="24"/>
        <v>0</v>
      </c>
      <c r="N38" s="59">
        <f t="shared" si="25"/>
        <v>0</v>
      </c>
      <c r="O38" s="173">
        <f t="shared" si="26"/>
        <v>22.334399999999999</v>
      </c>
      <c r="Q38" s="174">
        <f t="shared" si="27"/>
        <v>1.2</v>
      </c>
      <c r="R38" s="175">
        <f t="shared" si="28"/>
        <v>2.82</v>
      </c>
    </row>
    <row r="39" spans="1:18" ht="15.95" customHeight="1">
      <c r="A39" s="289"/>
      <c r="B39" s="172" t="s">
        <v>41</v>
      </c>
      <c r="C39" s="39"/>
      <c r="D39" s="56">
        <v>2</v>
      </c>
      <c r="E39" s="57">
        <v>0.5</v>
      </c>
      <c r="F39" s="56">
        <v>4</v>
      </c>
      <c r="G39" s="56">
        <v>2.42</v>
      </c>
      <c r="H39" s="56">
        <f t="shared" si="19"/>
        <v>19.36</v>
      </c>
      <c r="I39" s="59">
        <f t="shared" si="20"/>
        <v>0</v>
      </c>
      <c r="J39" s="59">
        <f t="shared" si="21"/>
        <v>0</v>
      </c>
      <c r="K39" s="59">
        <f t="shared" si="22"/>
        <v>19.36</v>
      </c>
      <c r="L39" s="59">
        <f t="shared" si="23"/>
        <v>0</v>
      </c>
      <c r="M39" s="59">
        <f t="shared" si="24"/>
        <v>0</v>
      </c>
      <c r="N39" s="59">
        <f t="shared" si="25"/>
        <v>0</v>
      </c>
      <c r="O39" s="173">
        <f t="shared" si="26"/>
        <v>19.166399999999999</v>
      </c>
      <c r="Q39" s="174">
        <f t="shared" si="27"/>
        <v>1.4</v>
      </c>
      <c r="R39" s="175">
        <f t="shared" si="28"/>
        <v>2.42</v>
      </c>
    </row>
    <row r="40" spans="1:18" ht="15.95" customHeight="1">
      <c r="A40" s="289"/>
      <c r="B40" s="172" t="s">
        <v>41</v>
      </c>
      <c r="C40" s="39"/>
      <c r="D40" s="56">
        <v>2</v>
      </c>
      <c r="E40" s="57">
        <v>0.5</v>
      </c>
      <c r="F40" s="56">
        <v>4</v>
      </c>
      <c r="G40" s="56">
        <v>1.86</v>
      </c>
      <c r="H40" s="56">
        <f t="shared" si="19"/>
        <v>14.88</v>
      </c>
      <c r="I40" s="59">
        <f t="shared" si="20"/>
        <v>0</v>
      </c>
      <c r="J40" s="59">
        <f t="shared" si="21"/>
        <v>0</v>
      </c>
      <c r="K40" s="59">
        <f t="shared" si="22"/>
        <v>14.88</v>
      </c>
      <c r="L40" s="59">
        <f t="shared" si="23"/>
        <v>0</v>
      </c>
      <c r="M40" s="59">
        <f t="shared" si="24"/>
        <v>0</v>
      </c>
      <c r="N40" s="59">
        <f t="shared" si="25"/>
        <v>0</v>
      </c>
      <c r="O40" s="173">
        <f t="shared" si="26"/>
        <v>14.731200000000001</v>
      </c>
      <c r="Q40" s="174">
        <f t="shared" si="27"/>
        <v>1.5999999999999999</v>
      </c>
      <c r="R40" s="175">
        <f t="shared" si="28"/>
        <v>1.86</v>
      </c>
    </row>
    <row r="41" spans="1:18" ht="15.95" customHeight="1">
      <c r="A41" s="308"/>
      <c r="B41" s="298" t="s">
        <v>41</v>
      </c>
      <c r="C41" s="299"/>
      <c r="D41" s="300">
        <v>2</v>
      </c>
      <c r="E41" s="301">
        <v>0.5</v>
      </c>
      <c r="F41" s="300">
        <v>4</v>
      </c>
      <c r="G41" s="300">
        <v>0.85</v>
      </c>
      <c r="H41" s="300">
        <f t="shared" si="19"/>
        <v>6.8</v>
      </c>
      <c r="I41" s="303">
        <f t="shared" si="20"/>
        <v>0</v>
      </c>
      <c r="J41" s="303">
        <f t="shared" si="21"/>
        <v>0</v>
      </c>
      <c r="K41" s="303">
        <f t="shared" si="22"/>
        <v>6.8</v>
      </c>
      <c r="L41" s="303">
        <f t="shared" si="23"/>
        <v>0</v>
      </c>
      <c r="M41" s="303">
        <f t="shared" si="24"/>
        <v>0</v>
      </c>
      <c r="N41" s="303">
        <f t="shared" si="25"/>
        <v>0</v>
      </c>
      <c r="O41" s="305">
        <f t="shared" si="26"/>
        <v>6.7320000000000002</v>
      </c>
      <c r="Q41" s="174">
        <f t="shared" si="27"/>
        <v>1.7999999999999998</v>
      </c>
      <c r="R41" s="175">
        <f t="shared" si="28"/>
        <v>0.85</v>
      </c>
    </row>
    <row r="42" spans="1:18" s="61" customFormat="1" ht="15.95" customHeight="1">
      <c r="A42" s="347" t="s">
        <v>372</v>
      </c>
      <c r="B42" s="348"/>
      <c r="C42" s="348"/>
      <c r="D42" s="348"/>
      <c r="E42" s="348"/>
      <c r="F42" s="348"/>
      <c r="G42" s="348"/>
      <c r="H42" s="349"/>
      <c r="I42" s="77">
        <f t="shared" ref="I42:N42" si="29">+SUM(I9:I41)</f>
        <v>0</v>
      </c>
      <c r="J42" s="77">
        <f t="shared" si="29"/>
        <v>74.03</v>
      </c>
      <c r="K42" s="77">
        <f t="shared" si="29"/>
        <v>1583.9400000000003</v>
      </c>
      <c r="L42" s="77">
        <f t="shared" si="29"/>
        <v>47</v>
      </c>
      <c r="M42" s="77">
        <f t="shared" si="29"/>
        <v>0</v>
      </c>
      <c r="N42" s="77">
        <f t="shared" si="29"/>
        <v>0</v>
      </c>
      <c r="O42" s="293"/>
    </row>
    <row r="43" spans="1:18" s="61" customFormat="1" ht="15.95" customHeight="1">
      <c r="A43" s="347" t="s">
        <v>373</v>
      </c>
      <c r="B43" s="348"/>
      <c r="C43" s="348"/>
      <c r="D43" s="348"/>
      <c r="E43" s="348"/>
      <c r="F43" s="348"/>
      <c r="G43" s="348"/>
      <c r="H43" s="349"/>
      <c r="I43" s="77">
        <f t="shared" ref="I43:N43" si="30">+I8</f>
        <v>0.25</v>
      </c>
      <c r="J43" s="77">
        <f t="shared" si="30"/>
        <v>0.56000000000000005</v>
      </c>
      <c r="K43" s="77">
        <f t="shared" si="30"/>
        <v>0.99</v>
      </c>
      <c r="L43" s="77">
        <f t="shared" si="30"/>
        <v>1.55</v>
      </c>
      <c r="M43" s="77">
        <f t="shared" si="30"/>
        <v>2.2400000000000002</v>
      </c>
      <c r="N43" s="77">
        <f t="shared" si="30"/>
        <v>3.98</v>
      </c>
      <c r="O43" s="293"/>
    </row>
    <row r="44" spans="1:18" s="61" customFormat="1" ht="15.95" customHeight="1">
      <c r="A44" s="347" t="s">
        <v>374</v>
      </c>
      <c r="B44" s="348"/>
      <c r="C44" s="348"/>
      <c r="D44" s="348"/>
      <c r="E44" s="348"/>
      <c r="F44" s="348"/>
      <c r="G44" s="348"/>
      <c r="H44" s="349"/>
      <c r="I44" s="77">
        <f t="shared" ref="I44:N44" si="31">+I42*I43</f>
        <v>0</v>
      </c>
      <c r="J44" s="77">
        <f t="shared" si="31"/>
        <v>41.456800000000001</v>
      </c>
      <c r="K44" s="77">
        <f t="shared" si="31"/>
        <v>1568.1006000000002</v>
      </c>
      <c r="L44" s="77">
        <f t="shared" si="31"/>
        <v>72.850000000000009</v>
      </c>
      <c r="M44" s="77">
        <f t="shared" si="31"/>
        <v>0</v>
      </c>
      <c r="N44" s="77">
        <f t="shared" si="31"/>
        <v>0</v>
      </c>
      <c r="O44" s="293">
        <f>+SUM(I44:N44)</f>
        <v>1682.4074000000001</v>
      </c>
    </row>
    <row r="45" spans="1:18" s="64" customFormat="1" ht="15.75" customHeight="1">
      <c r="A45" s="291">
        <f>+'2.caseta de valvulas'!A8</f>
        <v>1.1601999999999999</v>
      </c>
      <c r="B45" s="294" t="str">
        <f>+'2.caseta de valvulas'!B8</f>
        <v>CASETA DE VALVULAS - GRUPO ELECTROGENO - TABLERO - CUARTO DEL OPERADOR - BAÑO</v>
      </c>
      <c r="C45" s="40"/>
      <c r="D45" s="51"/>
      <c r="E45" s="52"/>
      <c r="F45" s="51"/>
      <c r="G45" s="51"/>
      <c r="H45" s="295"/>
      <c r="I45" s="296"/>
      <c r="J45" s="296"/>
      <c r="K45" s="296"/>
      <c r="L45" s="296"/>
      <c r="M45" s="296"/>
      <c r="N45" s="296"/>
      <c r="O45" s="54"/>
    </row>
    <row r="46" spans="1:18" s="64" customFormat="1" ht="15.75" customHeight="1">
      <c r="A46" s="292">
        <f>+'2.caseta de valvulas'!A44</f>
        <v>1.1602049999999995</v>
      </c>
      <c r="B46" s="75" t="str">
        <f>+'2.caseta de valvulas'!B44</f>
        <v>OBRAS DE CONCRETO ARMADO</v>
      </c>
      <c r="C46" s="41"/>
      <c r="D46" s="56"/>
      <c r="E46" s="57"/>
      <c r="F46" s="56"/>
      <c r="G46" s="56"/>
      <c r="H46" s="58"/>
      <c r="I46" s="59"/>
      <c r="J46" s="59"/>
      <c r="K46" s="59"/>
      <c r="L46" s="59"/>
      <c r="M46" s="59"/>
      <c r="N46" s="59"/>
      <c r="O46" s="76"/>
    </row>
    <row r="47" spans="1:18" s="64" customFormat="1" ht="15.75" customHeight="1">
      <c r="A47" s="292">
        <f>+'2.caseta de valvulas'!A62</f>
        <v>1.1602050299999993</v>
      </c>
      <c r="B47" s="75" t="str">
        <f>+'2.caseta de valvulas'!B62</f>
        <v>Acero estruc. trabajado p/losa de cimentacion (costo prom. incl. Desperdicios)</v>
      </c>
      <c r="C47" s="41"/>
      <c r="D47" s="56"/>
      <c r="E47" s="57"/>
      <c r="F47" s="56"/>
      <c r="G47" s="56"/>
      <c r="H47" s="58"/>
      <c r="I47" s="59"/>
      <c r="J47" s="59"/>
      <c r="K47" s="59"/>
      <c r="L47" s="59"/>
      <c r="M47" s="59"/>
      <c r="N47" s="59"/>
      <c r="O47" s="76">
        <f>SUM(O48:O55)-SUM(O56:O69)</f>
        <v>1871.6445000000001</v>
      </c>
    </row>
    <row r="48" spans="1:18" s="64" customFormat="1" ht="15.75" customHeight="1">
      <c r="A48" s="292"/>
      <c r="B48" s="171" t="s">
        <v>375</v>
      </c>
      <c r="C48" s="173"/>
      <c r="D48" s="56">
        <v>1</v>
      </c>
      <c r="E48" s="57">
        <v>0.5</v>
      </c>
      <c r="F48" s="56">
        <v>170</v>
      </c>
      <c r="G48" s="56">
        <v>1.83</v>
      </c>
      <c r="H48" s="58">
        <f t="shared" ref="H48:H53" si="32">+F48*G48*D48</f>
        <v>311.10000000000002</v>
      </c>
      <c r="I48" s="59">
        <f t="shared" ref="I48:I53" si="33">+IF($D48&gt;0,IF(E48=I$7,D48*F48*G48,),)</f>
        <v>0</v>
      </c>
      <c r="J48" s="59">
        <f t="shared" ref="J48:J53" si="34">+IF($D48&gt;0,IF(E48=J$7,D48*F48*G48,),)</f>
        <v>0</v>
      </c>
      <c r="K48" s="59">
        <f t="shared" ref="K48:K53" si="35">+IF($D48&gt;0,IF(E48=K$7,D48*F48*G48,),)</f>
        <v>311.10000000000002</v>
      </c>
      <c r="L48" s="59">
        <f t="shared" ref="L48:L53" si="36">+IF($D48&gt;0,IF(E48=L$7,D48*F48*G48,),)</f>
        <v>0</v>
      </c>
      <c r="M48" s="59">
        <f t="shared" ref="M48:M53" si="37">+IF($D48&gt;0,IF(E48=M$7,D48*F48*G48,),)</f>
        <v>0</v>
      </c>
      <c r="N48" s="59">
        <f t="shared" ref="N48:N53" si="38">+IF($D48&gt;0,IF(E48=N$7,D48*F48*G48,),)</f>
        <v>0</v>
      </c>
      <c r="O48" s="60">
        <f t="shared" ref="O48:O53" si="39">+I48*I$8+J48*J$8+K48*K$8+L48*L$8+M48*M$8+N48*N$8</f>
        <v>307.98900000000003</v>
      </c>
    </row>
    <row r="49" spans="1:18" s="64" customFormat="1" ht="15.75" customHeight="1">
      <c r="A49" s="292"/>
      <c r="B49" s="171" t="s">
        <v>376</v>
      </c>
      <c r="C49" s="173"/>
      <c r="D49" s="56">
        <v>1</v>
      </c>
      <c r="E49" s="57">
        <v>0.5</v>
      </c>
      <c r="F49" s="56">
        <v>47</v>
      </c>
      <c r="G49" s="56">
        <v>1.83</v>
      </c>
      <c r="H49" s="58">
        <f t="shared" si="32"/>
        <v>86.01</v>
      </c>
      <c r="I49" s="59">
        <f t="shared" si="33"/>
        <v>0</v>
      </c>
      <c r="J49" s="59">
        <f t="shared" si="34"/>
        <v>0</v>
      </c>
      <c r="K49" s="59">
        <f t="shared" si="35"/>
        <v>86.01</v>
      </c>
      <c r="L49" s="59">
        <f t="shared" si="36"/>
        <v>0</v>
      </c>
      <c r="M49" s="59">
        <f t="shared" si="37"/>
        <v>0</v>
      </c>
      <c r="N49" s="59">
        <f t="shared" si="38"/>
        <v>0</v>
      </c>
      <c r="O49" s="60">
        <f t="shared" si="39"/>
        <v>85.149900000000002</v>
      </c>
    </row>
    <row r="50" spans="1:18" s="64" customFormat="1" ht="15.75" customHeight="1">
      <c r="A50" s="292"/>
      <c r="B50" s="171" t="s">
        <v>377</v>
      </c>
      <c r="C50" s="173"/>
      <c r="D50" s="56">
        <v>1</v>
      </c>
      <c r="E50" s="57">
        <v>0.5</v>
      </c>
      <c r="F50" s="56">
        <v>28</v>
      </c>
      <c r="G50" s="56">
        <v>1.83</v>
      </c>
      <c r="H50" s="58">
        <f t="shared" si="32"/>
        <v>51.24</v>
      </c>
      <c r="I50" s="59">
        <f t="shared" si="33"/>
        <v>0</v>
      </c>
      <c r="J50" s="59">
        <f t="shared" si="34"/>
        <v>0</v>
      </c>
      <c r="K50" s="59">
        <f t="shared" si="35"/>
        <v>51.24</v>
      </c>
      <c r="L50" s="59">
        <f t="shared" si="36"/>
        <v>0</v>
      </c>
      <c r="M50" s="59">
        <f t="shared" si="37"/>
        <v>0</v>
      </c>
      <c r="N50" s="59">
        <f t="shared" si="38"/>
        <v>0</v>
      </c>
      <c r="O50" s="60">
        <f t="shared" si="39"/>
        <v>50.727600000000002</v>
      </c>
    </row>
    <row r="51" spans="1:18" s="64" customFormat="1" ht="15.75" customHeight="1">
      <c r="A51" s="292"/>
      <c r="B51" s="171" t="s">
        <v>378</v>
      </c>
      <c r="C51" s="173"/>
      <c r="D51" s="56">
        <v>1</v>
      </c>
      <c r="E51" s="57">
        <v>0.5</v>
      </c>
      <c r="F51" s="56">
        <v>20</v>
      </c>
      <c r="G51" s="56">
        <v>1.83</v>
      </c>
      <c r="H51" s="58">
        <f>+F51*G51*D51</f>
        <v>36.6</v>
      </c>
      <c r="I51" s="59">
        <f>+IF($D51&gt;0,IF(E51=I$7,D51*F51*G51,),)</f>
        <v>0</v>
      </c>
      <c r="J51" s="59">
        <f>+IF($D51&gt;0,IF(E51=J$7,D51*F51*G51,),)</f>
        <v>0</v>
      </c>
      <c r="K51" s="59">
        <f>+IF($D51&gt;0,IF(E51=K$7,D51*F51*G51,),)</f>
        <v>36.6</v>
      </c>
      <c r="L51" s="59">
        <f>+IF($D51&gt;0,IF(E51=L$7,D51*F51*G51,),)</f>
        <v>0</v>
      </c>
      <c r="M51" s="59">
        <f>+IF($D51&gt;0,IF(E51=M$7,D51*F51*G51,),)</f>
        <v>0</v>
      </c>
      <c r="N51" s="59">
        <f>+IF($D51&gt;0,IF(E51=N$7,D51*F51*G51,),)</f>
        <v>0</v>
      </c>
      <c r="O51" s="60">
        <f>+I51*I$8+J51*J$8+K51*K$8+L51*L$8+M51*M$8+N51*N$8</f>
        <v>36.234000000000002</v>
      </c>
    </row>
    <row r="52" spans="1:18" s="64" customFormat="1" ht="15.75" customHeight="1">
      <c r="A52" s="292"/>
      <c r="B52" s="171" t="s">
        <v>127</v>
      </c>
      <c r="C52" s="39"/>
      <c r="D52" s="56">
        <v>2</v>
      </c>
      <c r="E52" s="57">
        <v>0.5</v>
      </c>
      <c r="F52" s="56">
        <v>26</v>
      </c>
      <c r="G52" s="56">
        <f>12.25+2*0.2</f>
        <v>12.65</v>
      </c>
      <c r="H52" s="58">
        <f t="shared" si="32"/>
        <v>657.80000000000007</v>
      </c>
      <c r="I52" s="59">
        <f t="shared" si="33"/>
        <v>0</v>
      </c>
      <c r="J52" s="59">
        <f t="shared" si="34"/>
        <v>0</v>
      </c>
      <c r="K52" s="59">
        <f t="shared" si="35"/>
        <v>657.80000000000007</v>
      </c>
      <c r="L52" s="59">
        <f t="shared" si="36"/>
        <v>0</v>
      </c>
      <c r="M52" s="59">
        <f t="shared" si="37"/>
        <v>0</v>
      </c>
      <c r="N52" s="59">
        <f t="shared" si="38"/>
        <v>0</v>
      </c>
      <c r="O52" s="60">
        <f t="shared" si="39"/>
        <v>651.22200000000009</v>
      </c>
    </row>
    <row r="53" spans="1:18" s="64" customFormat="1" ht="15.75" customHeight="1">
      <c r="A53" s="292"/>
      <c r="B53" s="171" t="s">
        <v>127</v>
      </c>
      <c r="C53" s="39"/>
      <c r="D53" s="56">
        <v>2</v>
      </c>
      <c r="E53" s="57">
        <v>0.5</v>
      </c>
      <c r="F53" s="56">
        <v>10</v>
      </c>
      <c r="G53" s="56">
        <f>8.25+2*0.2</f>
        <v>8.65</v>
      </c>
      <c r="H53" s="58">
        <f t="shared" si="32"/>
        <v>173</v>
      </c>
      <c r="I53" s="59">
        <f t="shared" si="33"/>
        <v>0</v>
      </c>
      <c r="J53" s="59">
        <f t="shared" si="34"/>
        <v>0</v>
      </c>
      <c r="K53" s="59">
        <f t="shared" si="35"/>
        <v>173</v>
      </c>
      <c r="L53" s="59">
        <f t="shared" si="36"/>
        <v>0</v>
      </c>
      <c r="M53" s="59">
        <f t="shared" si="37"/>
        <v>0</v>
      </c>
      <c r="N53" s="59">
        <f t="shared" si="38"/>
        <v>0</v>
      </c>
      <c r="O53" s="60">
        <f t="shared" si="39"/>
        <v>171.27</v>
      </c>
    </row>
    <row r="54" spans="1:18" s="64" customFormat="1" ht="15.75" customHeight="1">
      <c r="A54" s="292"/>
      <c r="B54" s="171" t="s">
        <v>127</v>
      </c>
      <c r="C54" s="39"/>
      <c r="D54" s="56">
        <v>2</v>
      </c>
      <c r="E54" s="57">
        <v>0.5</v>
      </c>
      <c r="F54" s="56">
        <v>16</v>
      </c>
      <c r="G54" s="56">
        <f>6.4+2*0.2</f>
        <v>6.8000000000000007</v>
      </c>
      <c r="H54" s="58">
        <f>+F54*G54*D54</f>
        <v>217.60000000000002</v>
      </c>
      <c r="I54" s="59">
        <f>+IF($D54&gt;0,IF(E54=I$7,D54*F54*G54,),)</f>
        <v>0</v>
      </c>
      <c r="J54" s="59">
        <f>+IF($D54&gt;0,IF(E54=J$7,D54*F54*G54,),)</f>
        <v>0</v>
      </c>
      <c r="K54" s="59">
        <f>+IF($D54&gt;0,IF(E54=K$7,D54*F54*G54,),)</f>
        <v>217.60000000000002</v>
      </c>
      <c r="L54" s="59">
        <f>+IF($D54&gt;0,IF(E54=L$7,D54*F54*G54,),)</f>
        <v>0</v>
      </c>
      <c r="M54" s="59">
        <f>+IF($D54&gt;0,IF(E54=M$7,D54*F54*G54,),)</f>
        <v>0</v>
      </c>
      <c r="N54" s="59">
        <f>+IF($D54&gt;0,IF(E54=N$7,D54*F54*G54,),)</f>
        <v>0</v>
      </c>
      <c r="O54" s="60">
        <f>+I54*I$8+J54*J$8+K54*K$8+L54*L$8+M54*M$8+N54*N$8</f>
        <v>215.42400000000001</v>
      </c>
    </row>
    <row r="55" spans="1:18" s="64" customFormat="1" ht="15.75" customHeight="1">
      <c r="A55" s="292"/>
      <c r="B55" s="171" t="s">
        <v>127</v>
      </c>
      <c r="C55" s="39"/>
      <c r="D55" s="56">
        <v>2</v>
      </c>
      <c r="E55" s="57">
        <v>0.5</v>
      </c>
      <c r="F55" s="56">
        <v>33</v>
      </c>
      <c r="G55" s="56">
        <f>9+2*0.2</f>
        <v>9.4</v>
      </c>
      <c r="H55" s="58">
        <f>+F55*G55*D55</f>
        <v>620.4</v>
      </c>
      <c r="I55" s="59">
        <f>+IF($D55&gt;0,IF(E55=I$7,D55*F55*G55,),)</f>
        <v>0</v>
      </c>
      <c r="J55" s="59">
        <f>+IF($D55&gt;0,IF(E55=J$7,D55*F55*G55,),)</f>
        <v>0</v>
      </c>
      <c r="K55" s="59">
        <f>+IF($D55&gt;0,IF(E55=K$7,D55*F55*G55,),)</f>
        <v>620.4</v>
      </c>
      <c r="L55" s="59">
        <f>+IF($D55&gt;0,IF(E55=L$7,D55*F55*G55,),)</f>
        <v>0</v>
      </c>
      <c r="M55" s="59">
        <f>+IF($D55&gt;0,IF(E55=M$7,D55*F55*G55,),)</f>
        <v>0</v>
      </c>
      <c r="N55" s="59">
        <f>+IF($D55&gt;0,IF(E55=N$7,D55*F55*G55,),)</f>
        <v>0</v>
      </c>
      <c r="O55" s="60">
        <f>+I55*I$8+J55*J$8+K55*K$8+L55*L$8+M55*M$8+N55*N$8</f>
        <v>614.19600000000003</v>
      </c>
    </row>
    <row r="56" spans="1:18" ht="15.75" customHeight="1">
      <c r="A56" s="292"/>
      <c r="B56" s="171" t="s">
        <v>379</v>
      </c>
      <c r="C56" s="39"/>
      <c r="D56" s="56">
        <v>2</v>
      </c>
      <c r="E56" s="57">
        <v>0.5</v>
      </c>
      <c r="F56" s="56">
        <v>2</v>
      </c>
      <c r="G56" s="56">
        <v>3.76</v>
      </c>
      <c r="H56" s="56">
        <f t="shared" ref="H56:H63" si="40">+PRODUCT(D56,F56:G56)</f>
        <v>15.04</v>
      </c>
      <c r="I56" s="59">
        <f t="shared" ref="I56:I63" si="41">+IF($D56&gt;0,IF(E56=I$7,D56*F56*G56,),)</f>
        <v>0</v>
      </c>
      <c r="J56" s="59">
        <f t="shared" ref="J56:J63" si="42">+IF($D56&gt;0,IF(E56=J$7,D56*F56*G56,),)</f>
        <v>0</v>
      </c>
      <c r="K56" s="59">
        <f t="shared" ref="K56:K63" si="43">+IF($D56&gt;0,IF(E56=K$7,D56*F56*G56,),)</f>
        <v>15.04</v>
      </c>
      <c r="L56" s="59">
        <f t="shared" ref="L56:L63" si="44">+IF($D56&gt;0,IF(E56=L$7,D56*F56*G56,),)</f>
        <v>0</v>
      </c>
      <c r="M56" s="59">
        <f t="shared" ref="M56:M63" si="45">+IF($D56&gt;0,IF(E56=M$7,D56*F56*G56,),)</f>
        <v>0</v>
      </c>
      <c r="N56" s="59">
        <f t="shared" ref="N56:N63" si="46">+IF($D56&gt;0,IF(E56=N$7,D56*F56*G56,),)</f>
        <v>0</v>
      </c>
      <c r="O56" s="173">
        <f t="shared" ref="O56:O63" si="47">+I56*I$8+J56*J$8+K56*K$8+L56*L$8+M56*M$8+N56*N$8</f>
        <v>14.8896</v>
      </c>
      <c r="Q56" s="174">
        <v>0</v>
      </c>
      <c r="R56" s="175">
        <f>ROUND(2*(((1.88^2)-(Q56^2))^(0.5)),2)</f>
        <v>3.76</v>
      </c>
    </row>
    <row r="57" spans="1:18" ht="15.95" customHeight="1">
      <c r="A57" s="292"/>
      <c r="B57" s="171" t="s">
        <v>379</v>
      </c>
      <c r="C57" s="39"/>
      <c r="D57" s="56">
        <v>2</v>
      </c>
      <c r="E57" s="57">
        <v>0.5</v>
      </c>
      <c r="F57" s="56">
        <v>4</v>
      </c>
      <c r="G57" s="56">
        <v>3.73</v>
      </c>
      <c r="H57" s="56">
        <f t="shared" si="40"/>
        <v>29.84</v>
      </c>
      <c r="I57" s="59">
        <f t="shared" si="41"/>
        <v>0</v>
      </c>
      <c r="J57" s="59">
        <f t="shared" si="42"/>
        <v>0</v>
      </c>
      <c r="K57" s="59">
        <f t="shared" si="43"/>
        <v>29.84</v>
      </c>
      <c r="L57" s="59">
        <f t="shared" si="44"/>
        <v>0</v>
      </c>
      <c r="M57" s="59">
        <f t="shared" si="45"/>
        <v>0</v>
      </c>
      <c r="N57" s="59">
        <f t="shared" si="46"/>
        <v>0</v>
      </c>
      <c r="O57" s="173">
        <f t="shared" si="47"/>
        <v>29.541599999999999</v>
      </c>
      <c r="Q57" s="174">
        <f t="shared" ref="Q57:Q63" si="48">+Q56+0.25</f>
        <v>0.25</v>
      </c>
      <c r="R57" s="175">
        <f t="shared" ref="R57:R63" si="49">ROUND(2*(((1.88^2)-(Q57^2))^(0.5)),2)</f>
        <v>3.73</v>
      </c>
    </row>
    <row r="58" spans="1:18" ht="15.95" customHeight="1">
      <c r="A58" s="292"/>
      <c r="B58" s="171" t="s">
        <v>379</v>
      </c>
      <c r="C58" s="39"/>
      <c r="D58" s="56">
        <v>2</v>
      </c>
      <c r="E58" s="57">
        <v>0.5</v>
      </c>
      <c r="F58" s="56">
        <v>4</v>
      </c>
      <c r="G58" s="56">
        <v>3.62</v>
      </c>
      <c r="H58" s="56">
        <f t="shared" si="40"/>
        <v>28.96</v>
      </c>
      <c r="I58" s="59">
        <f t="shared" si="41"/>
        <v>0</v>
      </c>
      <c r="J58" s="59">
        <f t="shared" si="42"/>
        <v>0</v>
      </c>
      <c r="K58" s="59">
        <f t="shared" si="43"/>
        <v>28.96</v>
      </c>
      <c r="L58" s="59">
        <f t="shared" si="44"/>
        <v>0</v>
      </c>
      <c r="M58" s="59">
        <f t="shared" si="45"/>
        <v>0</v>
      </c>
      <c r="N58" s="59">
        <f t="shared" si="46"/>
        <v>0</v>
      </c>
      <c r="O58" s="173">
        <f t="shared" si="47"/>
        <v>28.670400000000001</v>
      </c>
      <c r="Q58" s="174">
        <f t="shared" si="48"/>
        <v>0.5</v>
      </c>
      <c r="R58" s="175">
        <f t="shared" si="49"/>
        <v>3.62</v>
      </c>
    </row>
    <row r="59" spans="1:18" ht="15.95" customHeight="1">
      <c r="A59" s="292"/>
      <c r="B59" s="171" t="s">
        <v>379</v>
      </c>
      <c r="C59" s="39"/>
      <c r="D59" s="56">
        <v>2</v>
      </c>
      <c r="E59" s="57">
        <v>0.5</v>
      </c>
      <c r="F59" s="56">
        <v>4</v>
      </c>
      <c r="G59" s="56">
        <v>3.45</v>
      </c>
      <c r="H59" s="56">
        <f t="shared" si="40"/>
        <v>27.6</v>
      </c>
      <c r="I59" s="59">
        <f t="shared" si="41"/>
        <v>0</v>
      </c>
      <c r="J59" s="59">
        <f t="shared" si="42"/>
        <v>0</v>
      </c>
      <c r="K59" s="59">
        <f t="shared" si="43"/>
        <v>27.6</v>
      </c>
      <c r="L59" s="59">
        <f t="shared" si="44"/>
        <v>0</v>
      </c>
      <c r="M59" s="59">
        <f t="shared" si="45"/>
        <v>0</v>
      </c>
      <c r="N59" s="59">
        <f t="shared" si="46"/>
        <v>0</v>
      </c>
      <c r="O59" s="173">
        <f t="shared" si="47"/>
        <v>27.324000000000002</v>
      </c>
      <c r="Q59" s="174">
        <f t="shared" si="48"/>
        <v>0.75</v>
      </c>
      <c r="R59" s="175">
        <f t="shared" si="49"/>
        <v>3.45</v>
      </c>
    </row>
    <row r="60" spans="1:18" ht="15.95" customHeight="1">
      <c r="A60" s="292"/>
      <c r="B60" s="171" t="s">
        <v>379</v>
      </c>
      <c r="C60" s="39"/>
      <c r="D60" s="56">
        <v>2</v>
      </c>
      <c r="E60" s="57">
        <v>0.5</v>
      </c>
      <c r="F60" s="56">
        <v>4</v>
      </c>
      <c r="G60" s="56">
        <v>3.18</v>
      </c>
      <c r="H60" s="56">
        <f t="shared" si="40"/>
        <v>25.44</v>
      </c>
      <c r="I60" s="59">
        <f t="shared" si="41"/>
        <v>0</v>
      </c>
      <c r="J60" s="59">
        <f t="shared" si="42"/>
        <v>0</v>
      </c>
      <c r="K60" s="59">
        <f t="shared" si="43"/>
        <v>25.44</v>
      </c>
      <c r="L60" s="59">
        <f t="shared" si="44"/>
        <v>0</v>
      </c>
      <c r="M60" s="59">
        <f t="shared" si="45"/>
        <v>0</v>
      </c>
      <c r="N60" s="59">
        <f t="shared" si="46"/>
        <v>0</v>
      </c>
      <c r="O60" s="173">
        <f t="shared" si="47"/>
        <v>25.185600000000001</v>
      </c>
      <c r="Q60" s="174">
        <f t="shared" si="48"/>
        <v>1</v>
      </c>
      <c r="R60" s="175">
        <f t="shared" si="49"/>
        <v>3.18</v>
      </c>
    </row>
    <row r="61" spans="1:18" ht="15.95" customHeight="1">
      <c r="A61" s="292"/>
      <c r="B61" s="171" t="s">
        <v>379</v>
      </c>
      <c r="C61" s="39"/>
      <c r="D61" s="56">
        <v>2</v>
      </c>
      <c r="E61" s="57">
        <v>0.5</v>
      </c>
      <c r="F61" s="56">
        <v>4</v>
      </c>
      <c r="G61" s="56">
        <v>2.81</v>
      </c>
      <c r="H61" s="56">
        <f t="shared" si="40"/>
        <v>22.48</v>
      </c>
      <c r="I61" s="59">
        <f t="shared" si="41"/>
        <v>0</v>
      </c>
      <c r="J61" s="59">
        <f t="shared" si="42"/>
        <v>0</v>
      </c>
      <c r="K61" s="59">
        <f t="shared" si="43"/>
        <v>22.48</v>
      </c>
      <c r="L61" s="59">
        <f t="shared" si="44"/>
        <v>0</v>
      </c>
      <c r="M61" s="59">
        <f t="shared" si="45"/>
        <v>0</v>
      </c>
      <c r="N61" s="59">
        <f t="shared" si="46"/>
        <v>0</v>
      </c>
      <c r="O61" s="173">
        <f t="shared" si="47"/>
        <v>22.255199999999999</v>
      </c>
      <c r="Q61" s="174">
        <f t="shared" si="48"/>
        <v>1.25</v>
      </c>
      <c r="R61" s="175">
        <f t="shared" si="49"/>
        <v>2.81</v>
      </c>
    </row>
    <row r="62" spans="1:18" ht="15.95" customHeight="1">
      <c r="A62" s="292"/>
      <c r="B62" s="171" t="s">
        <v>379</v>
      </c>
      <c r="C62" s="39"/>
      <c r="D62" s="56">
        <v>2</v>
      </c>
      <c r="E62" s="57">
        <v>0.5</v>
      </c>
      <c r="F62" s="56">
        <v>4</v>
      </c>
      <c r="G62" s="56">
        <v>2.27</v>
      </c>
      <c r="H62" s="56">
        <f t="shared" si="40"/>
        <v>18.16</v>
      </c>
      <c r="I62" s="59">
        <f t="shared" si="41"/>
        <v>0</v>
      </c>
      <c r="J62" s="59">
        <f t="shared" si="42"/>
        <v>0</v>
      </c>
      <c r="K62" s="59">
        <f t="shared" si="43"/>
        <v>18.16</v>
      </c>
      <c r="L62" s="59">
        <f t="shared" si="44"/>
        <v>0</v>
      </c>
      <c r="M62" s="59">
        <f t="shared" si="45"/>
        <v>0</v>
      </c>
      <c r="N62" s="59">
        <f t="shared" si="46"/>
        <v>0</v>
      </c>
      <c r="O62" s="173">
        <f t="shared" si="47"/>
        <v>17.978400000000001</v>
      </c>
      <c r="Q62" s="174">
        <f t="shared" si="48"/>
        <v>1.5</v>
      </c>
      <c r="R62" s="175">
        <f t="shared" si="49"/>
        <v>2.27</v>
      </c>
    </row>
    <row r="63" spans="1:18" ht="15.95" customHeight="1">
      <c r="A63" s="292"/>
      <c r="B63" s="171" t="s">
        <v>379</v>
      </c>
      <c r="C63" s="39"/>
      <c r="D63" s="56">
        <v>2</v>
      </c>
      <c r="E63" s="57">
        <v>0.5</v>
      </c>
      <c r="F63" s="56">
        <v>4</v>
      </c>
      <c r="G63" s="56">
        <v>1.37</v>
      </c>
      <c r="H63" s="56">
        <f t="shared" si="40"/>
        <v>10.96</v>
      </c>
      <c r="I63" s="59">
        <f t="shared" si="41"/>
        <v>0</v>
      </c>
      <c r="J63" s="59">
        <f t="shared" si="42"/>
        <v>0</v>
      </c>
      <c r="K63" s="59">
        <f t="shared" si="43"/>
        <v>10.96</v>
      </c>
      <c r="L63" s="59">
        <f t="shared" si="44"/>
        <v>0</v>
      </c>
      <c r="M63" s="59">
        <f t="shared" si="45"/>
        <v>0</v>
      </c>
      <c r="N63" s="59">
        <f t="shared" si="46"/>
        <v>0</v>
      </c>
      <c r="O63" s="173">
        <f t="shared" si="47"/>
        <v>10.8504</v>
      </c>
      <c r="Q63" s="174">
        <f t="shared" si="48"/>
        <v>1.75</v>
      </c>
      <c r="R63" s="175">
        <f t="shared" si="49"/>
        <v>1.37</v>
      </c>
    </row>
    <row r="64" spans="1:18" s="64" customFormat="1" ht="15.95" customHeight="1">
      <c r="A64" s="292"/>
      <c r="B64" s="171" t="s">
        <v>380</v>
      </c>
      <c r="C64" s="39"/>
      <c r="D64" s="56">
        <v>2</v>
      </c>
      <c r="E64" s="57">
        <v>0.5</v>
      </c>
      <c r="F64" s="56">
        <v>6</v>
      </c>
      <c r="G64" s="56">
        <v>2.1</v>
      </c>
      <c r="H64" s="58">
        <f>+F64*G64*D64</f>
        <v>25.200000000000003</v>
      </c>
      <c r="I64" s="59">
        <f t="shared" ref="I64:I69" si="50">+IF($D64&gt;0,IF(E64=I$7,D64*F64*G64,),)</f>
        <v>0</v>
      </c>
      <c r="J64" s="59">
        <f t="shared" ref="J64:J69" si="51">+IF($D64&gt;0,IF(E64=J$7,D64*F64*G64,),)</f>
        <v>0</v>
      </c>
      <c r="K64" s="59">
        <f t="shared" ref="K64:K69" si="52">+IF($D64&gt;0,IF(E64=K$7,D64*F64*G64,),)</f>
        <v>25.200000000000003</v>
      </c>
      <c r="L64" s="59">
        <f t="shared" ref="L64:L69" si="53">+IF($D64&gt;0,IF(E64=L$7,D64*F64*G64,),)</f>
        <v>0</v>
      </c>
      <c r="M64" s="59">
        <f t="shared" ref="M64:M69" si="54">+IF($D64&gt;0,IF(E64=M$7,D64*F64*G64,),)</f>
        <v>0</v>
      </c>
      <c r="N64" s="59">
        <f t="shared" ref="N64:N69" si="55">+IF($D64&gt;0,IF(E64=N$7,D64*F64*G64,),)</f>
        <v>0</v>
      </c>
      <c r="O64" s="60">
        <f t="shared" ref="O64:O69" si="56">+I64*I$8+J64*J$8+K64*K$8+L64*L$8+M64*M$8+N64*N$8</f>
        <v>24.948000000000004</v>
      </c>
    </row>
    <row r="65" spans="1:18" s="64" customFormat="1" ht="15.95" customHeight="1">
      <c r="A65" s="292"/>
      <c r="B65" s="171" t="s">
        <v>380</v>
      </c>
      <c r="C65" s="39"/>
      <c r="D65" s="56">
        <v>2</v>
      </c>
      <c r="E65" s="57">
        <v>0.5</v>
      </c>
      <c r="F65" s="56">
        <v>8</v>
      </c>
      <c r="G65" s="56">
        <v>1.5</v>
      </c>
      <c r="H65" s="58">
        <f>+F65*G65*D65</f>
        <v>24</v>
      </c>
      <c r="I65" s="59">
        <f t="shared" si="50"/>
        <v>0</v>
      </c>
      <c r="J65" s="59">
        <f t="shared" si="51"/>
        <v>0</v>
      </c>
      <c r="K65" s="59">
        <f t="shared" si="52"/>
        <v>24</v>
      </c>
      <c r="L65" s="59">
        <f t="shared" si="53"/>
        <v>0</v>
      </c>
      <c r="M65" s="59">
        <f t="shared" si="54"/>
        <v>0</v>
      </c>
      <c r="N65" s="59">
        <f t="shared" si="55"/>
        <v>0</v>
      </c>
      <c r="O65" s="60">
        <f t="shared" si="56"/>
        <v>23.759999999999998</v>
      </c>
    </row>
    <row r="66" spans="1:18" ht="15.75" customHeight="1">
      <c r="A66" s="292"/>
      <c r="B66" s="171" t="s">
        <v>381</v>
      </c>
      <c r="C66" s="39"/>
      <c r="D66" s="56">
        <v>2</v>
      </c>
      <c r="E66" s="57">
        <v>0.5</v>
      </c>
      <c r="F66" s="56">
        <v>2</v>
      </c>
      <c r="G66" s="56">
        <v>1.66</v>
      </c>
      <c r="H66" s="56">
        <f>+PRODUCT(D66,F66:G66)</f>
        <v>6.64</v>
      </c>
      <c r="I66" s="59">
        <f t="shared" si="50"/>
        <v>0</v>
      </c>
      <c r="J66" s="59">
        <f t="shared" si="51"/>
        <v>0</v>
      </c>
      <c r="K66" s="59">
        <f t="shared" si="52"/>
        <v>6.64</v>
      </c>
      <c r="L66" s="59">
        <f t="shared" si="53"/>
        <v>0</v>
      </c>
      <c r="M66" s="59">
        <f t="shared" si="54"/>
        <v>0</v>
      </c>
      <c r="N66" s="59">
        <f t="shared" si="55"/>
        <v>0</v>
      </c>
      <c r="O66" s="173">
        <f t="shared" si="56"/>
        <v>6.5735999999999999</v>
      </c>
      <c r="Q66" s="174">
        <v>0</v>
      </c>
      <c r="R66" s="175">
        <f>ROUND(2*(((0.83^2)-(Q66^2))^(0.5)),2)</f>
        <v>1.66</v>
      </c>
    </row>
    <row r="67" spans="1:18" ht="15.95" customHeight="1">
      <c r="A67" s="292"/>
      <c r="B67" s="171" t="s">
        <v>381</v>
      </c>
      <c r="C67" s="39"/>
      <c r="D67" s="56">
        <v>2</v>
      </c>
      <c r="E67" s="57">
        <v>0.5</v>
      </c>
      <c r="F67" s="56">
        <v>4</v>
      </c>
      <c r="G67" s="56">
        <v>1.58</v>
      </c>
      <c r="H67" s="56">
        <f>+PRODUCT(D67,F67:G67)</f>
        <v>12.64</v>
      </c>
      <c r="I67" s="59">
        <f t="shared" si="50"/>
        <v>0</v>
      </c>
      <c r="J67" s="59">
        <f t="shared" si="51"/>
        <v>0</v>
      </c>
      <c r="K67" s="59">
        <f t="shared" si="52"/>
        <v>12.64</v>
      </c>
      <c r="L67" s="59">
        <f t="shared" si="53"/>
        <v>0</v>
      </c>
      <c r="M67" s="59">
        <f t="shared" si="54"/>
        <v>0</v>
      </c>
      <c r="N67" s="59">
        <f t="shared" si="55"/>
        <v>0</v>
      </c>
      <c r="O67" s="173">
        <f t="shared" si="56"/>
        <v>12.5136</v>
      </c>
      <c r="Q67" s="174">
        <f>+Q66+0.25</f>
        <v>0.25</v>
      </c>
      <c r="R67" s="175">
        <f>ROUND(2*(((0.83^2)-(Q67^2))^(0.5)),2)</f>
        <v>1.58</v>
      </c>
    </row>
    <row r="68" spans="1:18" ht="15.95" customHeight="1">
      <c r="A68" s="292"/>
      <c r="B68" s="171" t="s">
        <v>381</v>
      </c>
      <c r="C68" s="39"/>
      <c r="D68" s="56">
        <v>2</v>
      </c>
      <c r="E68" s="57">
        <v>0.5</v>
      </c>
      <c r="F68" s="56">
        <v>4</v>
      </c>
      <c r="G68" s="56">
        <v>1.32</v>
      </c>
      <c r="H68" s="56">
        <f>+PRODUCT(D68,F68:G68)</f>
        <v>10.56</v>
      </c>
      <c r="I68" s="59">
        <f t="shared" si="50"/>
        <v>0</v>
      </c>
      <c r="J68" s="59">
        <f t="shared" si="51"/>
        <v>0</v>
      </c>
      <c r="K68" s="59">
        <f t="shared" si="52"/>
        <v>10.56</v>
      </c>
      <c r="L68" s="59">
        <f t="shared" si="53"/>
        <v>0</v>
      </c>
      <c r="M68" s="59">
        <f t="shared" si="54"/>
        <v>0</v>
      </c>
      <c r="N68" s="59">
        <f t="shared" si="55"/>
        <v>0</v>
      </c>
      <c r="O68" s="173">
        <f t="shared" si="56"/>
        <v>10.4544</v>
      </c>
      <c r="Q68" s="174">
        <f>+Q67+0.25</f>
        <v>0.5</v>
      </c>
      <c r="R68" s="175">
        <f>ROUND(2*(((0.83^2)-(Q68^2))^(0.5)),2)</f>
        <v>1.32</v>
      </c>
    </row>
    <row r="69" spans="1:18" ht="15.95" customHeight="1">
      <c r="A69" s="292"/>
      <c r="B69" s="171" t="s">
        <v>381</v>
      </c>
      <c r="C69" s="39"/>
      <c r="D69" s="56">
        <v>2</v>
      </c>
      <c r="E69" s="57">
        <v>0.5</v>
      </c>
      <c r="F69" s="56">
        <v>4</v>
      </c>
      <c r="G69" s="56">
        <v>0.71</v>
      </c>
      <c r="H69" s="56">
        <f>+PRODUCT(D69,F69:G69)</f>
        <v>5.68</v>
      </c>
      <c r="I69" s="59">
        <f t="shared" si="50"/>
        <v>0</v>
      </c>
      <c r="J69" s="59">
        <f t="shared" si="51"/>
        <v>0</v>
      </c>
      <c r="K69" s="59">
        <f t="shared" si="52"/>
        <v>5.68</v>
      </c>
      <c r="L69" s="59">
        <f t="shared" si="53"/>
        <v>0</v>
      </c>
      <c r="M69" s="59">
        <f t="shared" si="54"/>
        <v>0</v>
      </c>
      <c r="N69" s="59">
        <f t="shared" si="55"/>
        <v>0</v>
      </c>
      <c r="O69" s="173">
        <f t="shared" si="56"/>
        <v>5.6231999999999998</v>
      </c>
      <c r="Q69" s="174">
        <f>+Q68+0.25</f>
        <v>0.75</v>
      </c>
      <c r="R69" s="175">
        <f>ROUND(2*(((0.83^2)-(Q69^2))^(0.5)),2)</f>
        <v>0.71</v>
      </c>
    </row>
    <row r="70" spans="1:18" s="64" customFormat="1" ht="15.95" customHeight="1">
      <c r="A70" s="292">
        <f>+'2.caseta de valvulas'!A70</f>
        <v>1.1602050599999991</v>
      </c>
      <c r="B70" s="75" t="str">
        <f>+'2.caseta de valvulas'!B70</f>
        <v>Acero estruc. trabajado p/columnas (costo prom. incl. Desperdicios)</v>
      </c>
      <c r="C70" s="41"/>
      <c r="D70" s="56"/>
      <c r="E70" s="57"/>
      <c r="F70" s="56"/>
      <c r="G70" s="56"/>
      <c r="H70" s="58"/>
      <c r="I70" s="59"/>
      <c r="J70" s="59"/>
      <c r="K70" s="59"/>
      <c r="L70" s="59"/>
      <c r="M70" s="59"/>
      <c r="N70" s="59"/>
      <c r="O70" s="76">
        <f>SUM(O71:O77)</f>
        <v>1135.5940000000001</v>
      </c>
    </row>
    <row r="71" spans="1:18" ht="15.95" customHeight="1">
      <c r="A71" s="292"/>
      <c r="B71" s="171" t="s">
        <v>141</v>
      </c>
      <c r="C71" s="39"/>
      <c r="D71" s="56">
        <v>10</v>
      </c>
      <c r="E71" s="57">
        <v>0.625</v>
      </c>
      <c r="F71" s="56">
        <v>6</v>
      </c>
      <c r="G71" s="56">
        <f>3.35+0.72+0.4</f>
        <v>4.4700000000000006</v>
      </c>
      <c r="H71" s="58">
        <f>+F71*G71*D71</f>
        <v>268.20000000000005</v>
      </c>
      <c r="I71" s="59">
        <f>+IF($D71&gt;0,IF(E71=I$7,D71*F71*G71,),)</f>
        <v>0</v>
      </c>
      <c r="J71" s="59">
        <f>+IF($D71&gt;0,IF(E71=J$7,D71*F71*G71,),)</f>
        <v>0</v>
      </c>
      <c r="K71" s="59">
        <f>+IF($D71&gt;0,IF(E71=K$7,D71*F71*G71,),)</f>
        <v>0</v>
      </c>
      <c r="L71" s="59">
        <f>+IF($D71&gt;0,IF(E71=L$7,D71*F71*G71,),)</f>
        <v>268.20000000000005</v>
      </c>
      <c r="M71" s="59">
        <f>+IF($D71&gt;0,IF(E71=M$7,D71*F71*G71,),)</f>
        <v>0</v>
      </c>
      <c r="N71" s="59">
        <f>+IF($D71&gt;0,IF(E71=N$7,D71*F71*G71,),)</f>
        <v>0</v>
      </c>
      <c r="O71" s="60">
        <f>+I71*I$8+J71*J$8+K71*K$8+L71*L$8+M71*M$8+N71*N$8</f>
        <v>415.71000000000009</v>
      </c>
    </row>
    <row r="72" spans="1:18" s="64" customFormat="1" ht="15.95" customHeight="1">
      <c r="A72" s="292"/>
      <c r="B72" s="171" t="s">
        <v>382</v>
      </c>
      <c r="C72" s="39"/>
      <c r="D72" s="56">
        <v>10</v>
      </c>
      <c r="E72" s="57">
        <v>0.5</v>
      </c>
      <c r="F72" s="56">
        <v>23</v>
      </c>
      <c r="G72" s="56">
        <v>1.4</v>
      </c>
      <c r="H72" s="58">
        <f>+F72*G72*D72</f>
        <v>321.99999999999994</v>
      </c>
      <c r="I72" s="59">
        <f>+IF($D72&gt;0,IF(E72=I$7,D72*F72*G72,),)</f>
        <v>0</v>
      </c>
      <c r="J72" s="59">
        <f>+IF($D72&gt;0,IF(E72=J$7,D72*F72*G72,),)</f>
        <v>0</v>
      </c>
      <c r="K72" s="59">
        <f>+IF($D72&gt;0,IF(E72=K$7,D72*F72*G72,),)</f>
        <v>322</v>
      </c>
      <c r="L72" s="59">
        <f>+IF($D72&gt;0,IF(E72=L$7,D72*F72*G72,),)</f>
        <v>0</v>
      </c>
      <c r="M72" s="59">
        <f>+IF($D72&gt;0,IF(E72=M$7,D72*F72*G72,),)</f>
        <v>0</v>
      </c>
      <c r="N72" s="59">
        <f>+IF($D72&gt;0,IF(E72=N$7,D72*F72*G72,),)</f>
        <v>0</v>
      </c>
      <c r="O72" s="60">
        <f>+I72*I$8+J72*J$8+K72*K$8+L72*L$8+M72*M$8+N72*N$8</f>
        <v>318.77999999999997</v>
      </c>
    </row>
    <row r="73" spans="1:18" s="64" customFormat="1" ht="15.95" customHeight="1">
      <c r="A73" s="292"/>
      <c r="B73" s="171" t="s">
        <v>142</v>
      </c>
      <c r="C73" s="39"/>
      <c r="D73" s="56">
        <v>4</v>
      </c>
      <c r="E73" s="57">
        <v>0.625</v>
      </c>
      <c r="F73" s="56">
        <v>4</v>
      </c>
      <c r="G73" s="56">
        <f>3.35+0.72+0.4</f>
        <v>4.4700000000000006</v>
      </c>
      <c r="H73" s="58">
        <f>+F73*G73*D73</f>
        <v>71.52000000000001</v>
      </c>
      <c r="I73" s="59">
        <f>+IF($D73&gt;0,IF(E73=I$7,D73*F73*G73,),)</f>
        <v>0</v>
      </c>
      <c r="J73" s="59">
        <f>+IF($D73&gt;0,IF(E73=J$7,D73*F73*G73,),)</f>
        <v>0</v>
      </c>
      <c r="K73" s="59">
        <f>+IF($D73&gt;0,IF(E73=K$7,D73*F73*G73,),)</f>
        <v>0</v>
      </c>
      <c r="L73" s="59">
        <f>+IF($D73&gt;0,IF(E73=L$7,D73*F73*G73,),)</f>
        <v>71.52000000000001</v>
      </c>
      <c r="M73" s="59">
        <f>+IF($D73&gt;0,IF(E73=M$7,D73*F73*G73,),)</f>
        <v>0</v>
      </c>
      <c r="N73" s="59">
        <f>+IF($D73&gt;0,IF(E73=N$7,D73*F73*G73,),)</f>
        <v>0</v>
      </c>
      <c r="O73" s="60">
        <f>+I73*I$8+J73*J$8+K73*K$8+L73*L$8+M73*M$8+N73*N$8</f>
        <v>110.85600000000002</v>
      </c>
    </row>
    <row r="74" spans="1:18" s="64" customFormat="1" ht="15.95" customHeight="1">
      <c r="A74" s="292"/>
      <c r="B74" s="171" t="s">
        <v>382</v>
      </c>
      <c r="C74" s="39"/>
      <c r="D74" s="56">
        <v>4</v>
      </c>
      <c r="E74" s="57">
        <v>0.5</v>
      </c>
      <c r="F74" s="56">
        <v>23</v>
      </c>
      <c r="G74" s="56">
        <v>1</v>
      </c>
      <c r="H74" s="58">
        <f>+F74*G74*D74</f>
        <v>92</v>
      </c>
      <c r="I74" s="59">
        <f>+IF($D74&gt;0,IF(E74=I$7,D74*F74*G74,),)</f>
        <v>0</v>
      </c>
      <c r="J74" s="59">
        <f>+IF($D74&gt;0,IF(E74=J$7,D74*F74*G74,),)</f>
        <v>0</v>
      </c>
      <c r="K74" s="59">
        <f>+IF($D74&gt;0,IF(E74=K$7,D74*F74*G74,),)</f>
        <v>92</v>
      </c>
      <c r="L74" s="59">
        <f>+IF($D74&gt;0,IF(E74=L$7,D74*F74*G74,),)</f>
        <v>0</v>
      </c>
      <c r="M74" s="59">
        <f>+IF($D74&gt;0,IF(E74=M$7,D74*F74*G74,),)</f>
        <v>0</v>
      </c>
      <c r="N74" s="59">
        <f>+IF($D74&gt;0,IF(E74=N$7,D74*F74*G74,),)</f>
        <v>0</v>
      </c>
      <c r="O74" s="60">
        <f>+I74*I$8+J74*J$8+K74*K$8+L74*L$8+M74*M$8+N74*N$8</f>
        <v>91.08</v>
      </c>
    </row>
    <row r="75" spans="1:18" ht="15.95" customHeight="1">
      <c r="A75" s="292"/>
      <c r="B75" s="176" t="s">
        <v>383</v>
      </c>
      <c r="C75" s="177"/>
      <c r="D75" s="177"/>
      <c r="E75" s="178"/>
      <c r="F75" s="177"/>
      <c r="G75" s="56"/>
      <c r="H75" s="58"/>
      <c r="I75" s="59"/>
      <c r="J75" s="59"/>
      <c r="K75" s="59"/>
      <c r="L75" s="59"/>
      <c r="M75" s="59"/>
      <c r="N75" s="59"/>
      <c r="O75" s="76"/>
    </row>
    <row r="76" spans="1:18" ht="15.95" customHeight="1">
      <c r="A76" s="292"/>
      <c r="B76" s="176" t="s">
        <v>362</v>
      </c>
      <c r="C76" s="39"/>
      <c r="D76" s="177">
        <v>16</v>
      </c>
      <c r="E76" s="178">
        <v>0.375</v>
      </c>
      <c r="F76" s="177">
        <v>4</v>
      </c>
      <c r="G76" s="56">
        <f>3.35+0.2+0.2+0.2</f>
        <v>3.9500000000000006</v>
      </c>
      <c r="H76" s="56">
        <f>+PRODUCT(D76,F76:G76)</f>
        <v>252.80000000000004</v>
      </c>
      <c r="I76" s="59">
        <f>+IF($D76&gt;0,IF(E76=I$7,D76*F76*G76,),)</f>
        <v>0</v>
      </c>
      <c r="J76" s="59">
        <f>+IF($D76&gt;0,IF(E76=J$7,D76*F76*G76,),)</f>
        <v>252.80000000000004</v>
      </c>
      <c r="K76" s="59">
        <f>+IF($D76&gt;0,IF(E76=K$7,D76*F76*G76,),)</f>
        <v>0</v>
      </c>
      <c r="L76" s="59">
        <f>+IF($D76&gt;0,IF(E76=L$7,D76*F76*G76,),)</f>
        <v>0</v>
      </c>
      <c r="M76" s="59">
        <f>+IF($D76&gt;0,IF(E76=M$7,D76*F76*G76,),)</f>
        <v>0</v>
      </c>
      <c r="N76" s="59">
        <f>+IF($D76&gt;0,IF(E76=N$7,D76*F76*G76,),)</f>
        <v>0</v>
      </c>
      <c r="O76" s="173">
        <f>+I76*I$8+J76*J$8+K76*K$8+L76*L$8+M76*M$8+N76*N$8</f>
        <v>141.56800000000004</v>
      </c>
    </row>
    <row r="77" spans="1:18" ht="15.95" customHeight="1">
      <c r="A77" s="292"/>
      <c r="B77" s="176" t="s">
        <v>382</v>
      </c>
      <c r="C77" s="39"/>
      <c r="D77" s="177">
        <v>16</v>
      </c>
      <c r="E77" s="178">
        <v>0.25</v>
      </c>
      <c r="F77" s="177">
        <v>16</v>
      </c>
      <c r="G77" s="56">
        <v>0.9</v>
      </c>
      <c r="H77" s="56">
        <f>+PRODUCT(D77,F77:G77)</f>
        <v>230.4</v>
      </c>
      <c r="I77" s="59">
        <f>+IF($D77&gt;0,IF(E77=I$7,D77*F77*G77,),)</f>
        <v>230.4</v>
      </c>
      <c r="J77" s="59">
        <f>+IF($D77&gt;0,IF(E77=J$7,D77*F77*G77,),)</f>
        <v>0</v>
      </c>
      <c r="K77" s="59">
        <f>+IF($D77&gt;0,IF(E77=K$7,D77*F77*G77,),)</f>
        <v>0</v>
      </c>
      <c r="L77" s="59">
        <f>+IF($D77&gt;0,IF(E77=L$7,D77*F77*G77,),)</f>
        <v>0</v>
      </c>
      <c r="M77" s="59">
        <f>+IF($D77&gt;0,IF(E77=M$7,D77*F77*G77,),)</f>
        <v>0</v>
      </c>
      <c r="N77" s="59">
        <f>+IF($D77&gt;0,IF(E77=N$7,D77*F77*G77,),)</f>
        <v>0</v>
      </c>
      <c r="O77" s="173">
        <f>+I77*I$8+J77*J$8+K77*K$8+L77*L$8+M77*M$8+N77*N$8</f>
        <v>57.6</v>
      </c>
    </row>
    <row r="78" spans="1:18" s="64" customFormat="1" ht="15.95" customHeight="1">
      <c r="A78" s="292">
        <f>+'2.caseta de valvulas'!A92</f>
        <v>1.1602050899999989</v>
      </c>
      <c r="B78" s="75" t="str">
        <f>+'2.caseta de valvulas'!B92</f>
        <v>Acero estruc. trabajado p/muros reforzados (costo prom. incl. Desperdicios)</v>
      </c>
      <c r="C78" s="41"/>
      <c r="D78" s="56"/>
      <c r="E78" s="57"/>
      <c r="F78" s="56"/>
      <c r="G78" s="56"/>
      <c r="H78" s="58"/>
      <c r="I78" s="59"/>
      <c r="J78" s="59"/>
      <c r="K78" s="59"/>
      <c r="L78" s="59"/>
      <c r="M78" s="59"/>
      <c r="N78" s="59"/>
      <c r="O78" s="76">
        <f>SUM(O79:O102)</f>
        <v>2891.7221999999997</v>
      </c>
    </row>
    <row r="79" spans="1:18" ht="15.95" customHeight="1">
      <c r="A79" s="292"/>
      <c r="B79" s="176" t="s">
        <v>384</v>
      </c>
      <c r="C79" s="177"/>
      <c r="D79" s="177"/>
      <c r="E79" s="178"/>
      <c r="F79" s="177"/>
      <c r="G79" s="56"/>
      <c r="H79" s="58"/>
      <c r="I79" s="59"/>
      <c r="J79" s="59"/>
      <c r="K79" s="59"/>
      <c r="L79" s="59"/>
      <c r="M79" s="59"/>
      <c r="N79" s="59"/>
      <c r="O79" s="306"/>
    </row>
    <row r="80" spans="1:18" ht="15.95" customHeight="1">
      <c r="A80" s="292"/>
      <c r="B80" s="176" t="s">
        <v>362</v>
      </c>
      <c r="C80" s="39"/>
      <c r="D80" s="177">
        <v>4</v>
      </c>
      <c r="E80" s="178">
        <v>0.5</v>
      </c>
      <c r="F80" s="177">
        <v>16</v>
      </c>
      <c r="G80" s="56">
        <f>3.35+0.72+0.4</f>
        <v>4.4700000000000006</v>
      </c>
      <c r="H80" s="56">
        <f>+PRODUCT(D80,F80:G80)</f>
        <v>286.08000000000004</v>
      </c>
      <c r="I80" s="59">
        <f>+IF($D80&gt;0,IF(E80=I$7,D80*F80*G80,),)</f>
        <v>0</v>
      </c>
      <c r="J80" s="59">
        <f>+IF($D80&gt;0,IF(E80=J$7,D80*F80*G80,),)</f>
        <v>0</v>
      </c>
      <c r="K80" s="59">
        <f>+IF($D80&gt;0,IF(E80=K$7,D80*F80*G80,),)</f>
        <v>286.08000000000004</v>
      </c>
      <c r="L80" s="59">
        <f>+IF($D80&gt;0,IF(E80=L$7,D80*F80*G80,),)</f>
        <v>0</v>
      </c>
      <c r="M80" s="59">
        <f>+IF($D80&gt;0,IF(E80=M$7,D80*F80*G80,),)</f>
        <v>0</v>
      </c>
      <c r="N80" s="59">
        <f>+IF($D80&gt;0,IF(E80=N$7,D80*F80*G80,),)</f>
        <v>0</v>
      </c>
      <c r="O80" s="173">
        <f>+I80*I$8+J80*J$8+K80*K$8+L80*L$8+M80*M$8+N80*N$8</f>
        <v>283.21920000000006</v>
      </c>
    </row>
    <row r="81" spans="1:18" ht="15.95" customHeight="1">
      <c r="A81" s="292"/>
      <c r="B81" s="176" t="s">
        <v>362</v>
      </c>
      <c r="C81" s="39"/>
      <c r="D81" s="177">
        <v>4</v>
      </c>
      <c r="E81" s="178">
        <v>0.5</v>
      </c>
      <c r="F81" s="177">
        <v>16</v>
      </c>
      <c r="G81" s="56">
        <f>3.35+0.72+0.4</f>
        <v>4.4700000000000006</v>
      </c>
      <c r="H81" s="56">
        <f>+PRODUCT(D81,F81:G81)</f>
        <v>286.08000000000004</v>
      </c>
      <c r="I81" s="59">
        <f>+IF($D81&gt;0,IF(E81=I$7,D81*F81*G81,),)</f>
        <v>0</v>
      </c>
      <c r="J81" s="59">
        <f>+IF($D81&gt;0,IF(E81=J$7,D81*F81*G81,),)</f>
        <v>0</v>
      </c>
      <c r="K81" s="59">
        <f>+IF($D81&gt;0,IF(E81=K$7,D81*F81*G81,),)</f>
        <v>286.08000000000004</v>
      </c>
      <c r="L81" s="59">
        <f>+IF($D81&gt;0,IF(E81=L$7,D81*F81*G81,),)</f>
        <v>0</v>
      </c>
      <c r="M81" s="59">
        <f>+IF($D81&gt;0,IF(E81=M$7,D81*F81*G81,),)</f>
        <v>0</v>
      </c>
      <c r="N81" s="59">
        <f>+IF($D81&gt;0,IF(E81=N$7,D81*F81*G81,),)</f>
        <v>0</v>
      </c>
      <c r="O81" s="173">
        <f>+I81*I$8+J81*J$8+K81*K$8+L81*L$8+M81*M$8+N81*N$8</f>
        <v>283.21920000000006</v>
      </c>
    </row>
    <row r="82" spans="1:18" ht="15.95" customHeight="1">
      <c r="A82" s="292"/>
      <c r="B82" s="176" t="s">
        <v>362</v>
      </c>
      <c r="C82" s="39"/>
      <c r="D82" s="56">
        <v>4</v>
      </c>
      <c r="E82" s="57">
        <v>0.625</v>
      </c>
      <c r="F82" s="56">
        <v>15</v>
      </c>
      <c r="G82" s="56">
        <f>1.25+0.72</f>
        <v>1.97</v>
      </c>
      <c r="H82" s="56">
        <f>+PRODUCT(D82,F82:G82)</f>
        <v>118.2</v>
      </c>
      <c r="I82" s="59">
        <f>+IF($D82&gt;0,IF(E82=I$7,D82*F82*G82,),)</f>
        <v>0</v>
      </c>
      <c r="J82" s="59">
        <f>+IF($D82&gt;0,IF(E82=J$7,D82*F82*G82,),)</f>
        <v>0</v>
      </c>
      <c r="K82" s="59">
        <f>+IF($D82&gt;0,IF(E82=K$7,D82*F82*G82,),)</f>
        <v>0</v>
      </c>
      <c r="L82" s="59">
        <f>+IF($D82&gt;0,IF(E82=L$7,D82*F82*G82,),)</f>
        <v>118.2</v>
      </c>
      <c r="M82" s="59">
        <f>+IF($D82&gt;0,IF(E82=M$7,D82*F82*G82,),)</f>
        <v>0</v>
      </c>
      <c r="N82" s="59">
        <f>+IF($D82&gt;0,IF(E82=N$7,D82*F82*G82,),)</f>
        <v>0</v>
      </c>
      <c r="O82" s="173">
        <f>+I82*I$8+J82*J$8+K82*K$8+L82*L$8+M82*M$8+N82*N$8</f>
        <v>183.21</v>
      </c>
      <c r="Q82" s="174">
        <f>+Q81+0.25</f>
        <v>0.25</v>
      </c>
      <c r="R82" s="175">
        <f>ROUND(2*(((2.6^2)-(Q82^2))^(0.5)),2)</f>
        <v>5.18</v>
      </c>
    </row>
    <row r="83" spans="1:18" ht="15.95" customHeight="1">
      <c r="A83" s="292"/>
      <c r="B83" s="176" t="s">
        <v>385</v>
      </c>
      <c r="C83" s="39"/>
      <c r="D83" s="177">
        <v>4</v>
      </c>
      <c r="E83" s="178">
        <v>0.5</v>
      </c>
      <c r="F83" s="177">
        <v>26</v>
      </c>
      <c r="G83" s="56">
        <f>3.75+2*0.1</f>
        <v>3.95</v>
      </c>
      <c r="H83" s="56">
        <f>+PRODUCT(D83,F83:G83)</f>
        <v>410.8</v>
      </c>
      <c r="I83" s="59">
        <f>+IF($D83&gt;0,IF(E83=I$7,D83*F83*G83,),)</f>
        <v>0</v>
      </c>
      <c r="J83" s="59">
        <f>+IF($D83&gt;0,IF(E83=J$7,D83*F83*G83,),)</f>
        <v>0</v>
      </c>
      <c r="K83" s="59">
        <f>+IF($D83&gt;0,IF(E83=K$7,D83*F83*G83,),)</f>
        <v>410.8</v>
      </c>
      <c r="L83" s="59">
        <f>+IF($D83&gt;0,IF(E83=L$7,D83*F83*G83,),)</f>
        <v>0</v>
      </c>
      <c r="M83" s="59">
        <f>+IF($D83&gt;0,IF(E83=M$7,D83*F83*G83,),)</f>
        <v>0</v>
      </c>
      <c r="N83" s="59">
        <f>+IF($D83&gt;0,IF(E83=N$7,D83*F83*G83,),)</f>
        <v>0</v>
      </c>
      <c r="O83" s="173">
        <f>+I83*I$8+J83*J$8+K83*K$8+L83*L$8+M83*M$8+N83*N$8</f>
        <v>406.69200000000001</v>
      </c>
    </row>
    <row r="84" spans="1:18" ht="15.95" customHeight="1">
      <c r="A84" s="292"/>
      <c r="B84" s="176" t="s">
        <v>384</v>
      </c>
      <c r="C84" s="177"/>
      <c r="D84" s="177"/>
      <c r="E84" s="178"/>
      <c r="F84" s="177"/>
      <c r="G84" s="56"/>
      <c r="H84" s="58"/>
      <c r="I84" s="59"/>
      <c r="J84" s="59"/>
      <c r="K84" s="59"/>
      <c r="L84" s="59"/>
      <c r="M84" s="59"/>
      <c r="N84" s="59"/>
      <c r="O84" s="306"/>
    </row>
    <row r="85" spans="1:18" ht="15.95" customHeight="1">
      <c r="A85" s="292"/>
      <c r="B85" s="176" t="s">
        <v>362</v>
      </c>
      <c r="C85" s="39"/>
      <c r="D85" s="177">
        <v>2</v>
      </c>
      <c r="E85" s="178">
        <v>0.5</v>
      </c>
      <c r="F85" s="177">
        <v>16</v>
      </c>
      <c r="G85" s="56">
        <f>2.55+0.72+0.4</f>
        <v>3.6699999999999995</v>
      </c>
      <c r="H85" s="56">
        <f>+PRODUCT(D85,F85:G85)</f>
        <v>117.43999999999998</v>
      </c>
      <c r="I85" s="59">
        <f>+IF($D85&gt;0,IF(E85=I$7,D85*F85*G85,),)</f>
        <v>0</v>
      </c>
      <c r="J85" s="59">
        <f>+IF($D85&gt;0,IF(E85=J$7,D85*F85*G85,),)</f>
        <v>0</v>
      </c>
      <c r="K85" s="59">
        <f>+IF($D85&gt;0,IF(E85=K$7,D85*F85*G85,),)</f>
        <v>117.43999999999998</v>
      </c>
      <c r="L85" s="59">
        <f>+IF($D85&gt;0,IF(E85=L$7,D85*F85*G85,),)</f>
        <v>0</v>
      </c>
      <c r="M85" s="59">
        <f>+IF($D85&gt;0,IF(E85=M$7,D85*F85*G85,),)</f>
        <v>0</v>
      </c>
      <c r="N85" s="59">
        <f>+IF($D85&gt;0,IF(E85=N$7,D85*F85*G85,),)</f>
        <v>0</v>
      </c>
      <c r="O85" s="173">
        <f>+I85*I$8+J85*J$8+K85*K$8+L85*L$8+M85*M$8+N85*N$8</f>
        <v>116.26559999999998</v>
      </c>
    </row>
    <row r="86" spans="1:18" ht="15.95" customHeight="1">
      <c r="A86" s="292"/>
      <c r="B86" s="176" t="s">
        <v>362</v>
      </c>
      <c r="C86" s="39"/>
      <c r="D86" s="177">
        <v>2</v>
      </c>
      <c r="E86" s="178">
        <v>0.5</v>
      </c>
      <c r="F86" s="177">
        <v>16</v>
      </c>
      <c r="G86" s="56">
        <f>2.55+0.72+0.4</f>
        <v>3.6699999999999995</v>
      </c>
      <c r="H86" s="56">
        <f>+PRODUCT(D86,F86:G86)</f>
        <v>117.43999999999998</v>
      </c>
      <c r="I86" s="59">
        <f>+IF($D86&gt;0,IF(E86=I$7,D86*F86*G86,),)</f>
        <v>0</v>
      </c>
      <c r="J86" s="59">
        <f>+IF($D86&gt;0,IF(E86=J$7,D86*F86*G86,),)</f>
        <v>0</v>
      </c>
      <c r="K86" s="59">
        <f>+IF($D86&gt;0,IF(E86=K$7,D86*F86*G86,),)</f>
        <v>117.43999999999998</v>
      </c>
      <c r="L86" s="59">
        <f>+IF($D86&gt;0,IF(E86=L$7,D86*F86*G86,),)</f>
        <v>0</v>
      </c>
      <c r="M86" s="59">
        <f>+IF($D86&gt;0,IF(E86=M$7,D86*F86*G86,),)</f>
        <v>0</v>
      </c>
      <c r="N86" s="59">
        <f>+IF($D86&gt;0,IF(E86=N$7,D86*F86*G86,),)</f>
        <v>0</v>
      </c>
      <c r="O86" s="173">
        <f>+I86*I$8+J86*J$8+K86*K$8+L86*L$8+M86*M$8+N86*N$8</f>
        <v>116.26559999999998</v>
      </c>
    </row>
    <row r="87" spans="1:18" ht="15.95" customHeight="1">
      <c r="A87" s="292"/>
      <c r="B87" s="176" t="s">
        <v>362</v>
      </c>
      <c r="C87" s="39"/>
      <c r="D87" s="56">
        <v>2</v>
      </c>
      <c r="E87" s="57">
        <v>0.625</v>
      </c>
      <c r="F87" s="56">
        <v>15</v>
      </c>
      <c r="G87" s="56">
        <f>1.25+0.72</f>
        <v>1.97</v>
      </c>
      <c r="H87" s="56">
        <f>+PRODUCT(D87,F87:G87)</f>
        <v>59.1</v>
      </c>
      <c r="I87" s="59">
        <f>+IF($D87&gt;0,IF(E87=I$7,D87*F87*G87,),)</f>
        <v>0</v>
      </c>
      <c r="J87" s="59">
        <f>+IF($D87&gt;0,IF(E87=J$7,D87*F87*G87,),)</f>
        <v>0</v>
      </c>
      <c r="K87" s="59">
        <f>+IF($D87&gt;0,IF(E87=K$7,D87*F87*G87,),)</f>
        <v>0</v>
      </c>
      <c r="L87" s="59">
        <f>+IF($D87&gt;0,IF(E87=L$7,D87*F87*G87,),)</f>
        <v>59.1</v>
      </c>
      <c r="M87" s="59">
        <f>+IF($D87&gt;0,IF(E87=M$7,D87*F87*G87,),)</f>
        <v>0</v>
      </c>
      <c r="N87" s="59">
        <f>+IF($D87&gt;0,IF(E87=N$7,D87*F87*G87,),)</f>
        <v>0</v>
      </c>
      <c r="O87" s="173">
        <f>+I87*I$8+J87*J$8+K87*K$8+L87*L$8+M87*M$8+N87*N$8</f>
        <v>91.605000000000004</v>
      </c>
      <c r="Q87" s="174">
        <f>+Q86+0.25</f>
        <v>0.25</v>
      </c>
      <c r="R87" s="175">
        <f>ROUND(2*(((2.6^2)-(Q87^2))^(0.5)),2)</f>
        <v>5.18</v>
      </c>
    </row>
    <row r="88" spans="1:18" ht="15.95" customHeight="1">
      <c r="A88" s="292"/>
      <c r="B88" s="176" t="s">
        <v>385</v>
      </c>
      <c r="C88" s="39"/>
      <c r="D88" s="177">
        <v>2</v>
      </c>
      <c r="E88" s="178">
        <v>0.5</v>
      </c>
      <c r="F88" s="177">
        <v>20</v>
      </c>
      <c r="G88" s="56">
        <f>3.75+2*0.1</f>
        <v>3.95</v>
      </c>
      <c r="H88" s="56">
        <f>+PRODUCT(D88,F88:G88)</f>
        <v>158</v>
      </c>
      <c r="I88" s="59">
        <f>+IF($D88&gt;0,IF(E88=I$7,D88*F88*G88,),)</f>
        <v>0</v>
      </c>
      <c r="J88" s="59">
        <f>+IF($D88&gt;0,IF(E88=J$7,D88*F88*G88,),)</f>
        <v>0</v>
      </c>
      <c r="K88" s="59">
        <f>+IF($D88&gt;0,IF(E88=K$7,D88*F88*G88,),)</f>
        <v>158</v>
      </c>
      <c r="L88" s="59">
        <f>+IF($D88&gt;0,IF(E88=L$7,D88*F88*G88,),)</f>
        <v>0</v>
      </c>
      <c r="M88" s="59">
        <f>+IF($D88&gt;0,IF(E88=M$7,D88*F88*G88,),)</f>
        <v>0</v>
      </c>
      <c r="N88" s="59">
        <f>+IF($D88&gt;0,IF(E88=N$7,D88*F88*G88,),)</f>
        <v>0</v>
      </c>
      <c r="O88" s="173">
        <f>+I88*I$8+J88*J$8+K88*K$8+L88*L$8+M88*M$8+N88*N$8</f>
        <v>156.41999999999999</v>
      </c>
    </row>
    <row r="89" spans="1:18" ht="15.95" customHeight="1">
      <c r="A89" s="292"/>
      <c r="B89" s="176" t="s">
        <v>386</v>
      </c>
      <c r="C89" s="177"/>
      <c r="D89" s="177"/>
      <c r="E89" s="178"/>
      <c r="F89" s="177"/>
      <c r="G89" s="56"/>
      <c r="H89" s="58"/>
      <c r="I89" s="59"/>
      <c r="J89" s="59"/>
      <c r="K89" s="59"/>
      <c r="L89" s="59"/>
      <c r="M89" s="59"/>
      <c r="N89" s="59"/>
      <c r="O89" s="306"/>
    </row>
    <row r="90" spans="1:18" ht="15.95" customHeight="1">
      <c r="A90" s="292"/>
      <c r="B90" s="176" t="s">
        <v>362</v>
      </c>
      <c r="C90" s="39"/>
      <c r="D90" s="177">
        <v>2</v>
      </c>
      <c r="E90" s="178">
        <v>0.5</v>
      </c>
      <c r="F90" s="177">
        <v>23</v>
      </c>
      <c r="G90" s="56">
        <f>3.35+0.72+0.4</f>
        <v>4.4700000000000006</v>
      </c>
      <c r="H90" s="56">
        <f>+PRODUCT(D90,F90:G90)</f>
        <v>205.62000000000003</v>
      </c>
      <c r="I90" s="59">
        <f>+IF($D90&gt;0,IF(E90=I$7,D90*F90*G90,),)</f>
        <v>0</v>
      </c>
      <c r="J90" s="59">
        <f>+IF($D90&gt;0,IF(E90=J$7,D90*F90*G90,),)</f>
        <v>0</v>
      </c>
      <c r="K90" s="59">
        <f>+IF($D90&gt;0,IF(E90=K$7,D90*F90*G90,),)</f>
        <v>205.62000000000003</v>
      </c>
      <c r="L90" s="59">
        <f>+IF($D90&gt;0,IF(E90=L$7,D90*F90*G90,),)</f>
        <v>0</v>
      </c>
      <c r="M90" s="59">
        <f>+IF($D90&gt;0,IF(E90=M$7,D90*F90*G90,),)</f>
        <v>0</v>
      </c>
      <c r="N90" s="59">
        <f>+IF($D90&gt;0,IF(E90=N$7,D90*F90*G90,),)</f>
        <v>0</v>
      </c>
      <c r="O90" s="173">
        <f>+I90*I$8+J90*J$8+K90*K$8+L90*L$8+M90*M$8+N90*N$8</f>
        <v>203.56380000000004</v>
      </c>
    </row>
    <row r="91" spans="1:18" ht="15.95" customHeight="1">
      <c r="A91" s="292"/>
      <c r="B91" s="176" t="s">
        <v>362</v>
      </c>
      <c r="C91" s="39"/>
      <c r="D91" s="177">
        <v>2</v>
      </c>
      <c r="E91" s="178">
        <v>0.5</v>
      </c>
      <c r="F91" s="177">
        <v>23</v>
      </c>
      <c r="G91" s="56">
        <f>3.35+0.72+0.4</f>
        <v>4.4700000000000006</v>
      </c>
      <c r="H91" s="56">
        <f>+PRODUCT(D91,F91:G91)</f>
        <v>205.62000000000003</v>
      </c>
      <c r="I91" s="59">
        <f>+IF($D91&gt;0,IF(E91=I$7,D91*F91*G91,),)</f>
        <v>0</v>
      </c>
      <c r="J91" s="59">
        <f>+IF($D91&gt;0,IF(E91=J$7,D91*F91*G91,),)</f>
        <v>0</v>
      </c>
      <c r="K91" s="59">
        <f>+IF($D91&gt;0,IF(E91=K$7,D91*F91*G91,),)</f>
        <v>205.62000000000003</v>
      </c>
      <c r="L91" s="59">
        <f>+IF($D91&gt;0,IF(E91=L$7,D91*F91*G91,),)</f>
        <v>0</v>
      </c>
      <c r="M91" s="59">
        <f>+IF($D91&gt;0,IF(E91=M$7,D91*F91*G91,),)</f>
        <v>0</v>
      </c>
      <c r="N91" s="59">
        <f>+IF($D91&gt;0,IF(E91=N$7,D91*F91*G91,),)</f>
        <v>0</v>
      </c>
      <c r="O91" s="173">
        <f>+I91*I$8+J91*J$8+K91*K$8+L91*L$8+M91*M$8+N91*N$8</f>
        <v>203.56380000000004</v>
      </c>
    </row>
    <row r="92" spans="1:18" ht="15.95" customHeight="1">
      <c r="A92" s="292"/>
      <c r="B92" s="176" t="s">
        <v>362</v>
      </c>
      <c r="C92" s="39"/>
      <c r="D92" s="56">
        <v>2</v>
      </c>
      <c r="E92" s="57">
        <v>0.625</v>
      </c>
      <c r="F92" s="56">
        <v>22</v>
      </c>
      <c r="G92" s="56">
        <f>1.25+0.72</f>
        <v>1.97</v>
      </c>
      <c r="H92" s="56">
        <f>+PRODUCT(D92,F92:G92)</f>
        <v>86.679999999999993</v>
      </c>
      <c r="I92" s="59">
        <f>+IF($D92&gt;0,IF(E92=I$7,D92*F92*G92,),)</f>
        <v>0</v>
      </c>
      <c r="J92" s="59">
        <f>+IF($D92&gt;0,IF(E92=J$7,D92*F92*G92,),)</f>
        <v>0</v>
      </c>
      <c r="K92" s="59">
        <f>+IF($D92&gt;0,IF(E92=K$7,D92*F92*G92,),)</f>
        <v>0</v>
      </c>
      <c r="L92" s="59">
        <f>+IF($D92&gt;0,IF(E92=L$7,D92*F92*G92,),)</f>
        <v>86.679999999999993</v>
      </c>
      <c r="M92" s="59">
        <f>+IF($D92&gt;0,IF(E92=M$7,D92*F92*G92,),)</f>
        <v>0</v>
      </c>
      <c r="N92" s="59">
        <f>+IF($D92&gt;0,IF(E92=N$7,D92*F92*G92,),)</f>
        <v>0</v>
      </c>
      <c r="O92" s="173">
        <f>+I92*I$8+J92*J$8+K92*K$8+L92*L$8+M92*M$8+N92*N$8</f>
        <v>134.35399999999998</v>
      </c>
      <c r="Q92" s="174">
        <f>+Q91+0.25</f>
        <v>0.25</v>
      </c>
      <c r="R92" s="175">
        <f>ROUND(2*(((2.6^2)-(Q92^2))^(0.5)),2)</f>
        <v>5.18</v>
      </c>
    </row>
    <row r="93" spans="1:18" ht="15.95" customHeight="1">
      <c r="A93" s="292"/>
      <c r="B93" s="176" t="s">
        <v>385</v>
      </c>
      <c r="C93" s="39"/>
      <c r="D93" s="177">
        <v>2</v>
      </c>
      <c r="E93" s="178">
        <v>0.5</v>
      </c>
      <c r="F93" s="177">
        <v>26</v>
      </c>
      <c r="G93" s="56">
        <f>5.5+2*0.1</f>
        <v>5.7</v>
      </c>
      <c r="H93" s="56">
        <f>+PRODUCT(D93,F93:G93)</f>
        <v>296.40000000000003</v>
      </c>
      <c r="I93" s="59">
        <f>+IF($D93&gt;0,IF(E93=I$7,D93*F93*G93,),)</f>
        <v>0</v>
      </c>
      <c r="J93" s="59">
        <f>+IF($D93&gt;0,IF(E93=J$7,D93*F93*G93,),)</f>
        <v>0</v>
      </c>
      <c r="K93" s="59">
        <f>+IF($D93&gt;0,IF(E93=K$7,D93*F93*G93,),)</f>
        <v>296.40000000000003</v>
      </c>
      <c r="L93" s="59">
        <f>+IF($D93&gt;0,IF(E93=L$7,D93*F93*G93,),)</f>
        <v>0</v>
      </c>
      <c r="M93" s="59">
        <f>+IF($D93&gt;0,IF(E93=M$7,D93*F93*G93,),)</f>
        <v>0</v>
      </c>
      <c r="N93" s="59">
        <f>+IF($D93&gt;0,IF(E93=N$7,D93*F93*G93,),)</f>
        <v>0</v>
      </c>
      <c r="O93" s="173">
        <f>+I93*I$8+J93*J$8+K93*K$8+L93*L$8+M93*M$8+N93*N$8</f>
        <v>293.43600000000004</v>
      </c>
    </row>
    <row r="94" spans="1:18" ht="15.95" customHeight="1">
      <c r="A94" s="292"/>
      <c r="B94" s="176" t="s">
        <v>387</v>
      </c>
      <c r="C94" s="177"/>
      <c r="D94" s="177"/>
      <c r="E94" s="178"/>
      <c r="F94" s="177"/>
      <c r="G94" s="56"/>
      <c r="H94" s="58"/>
      <c r="I94" s="59"/>
      <c r="J94" s="59"/>
      <c r="K94" s="59"/>
      <c r="L94" s="59"/>
      <c r="M94" s="59"/>
      <c r="N94" s="59"/>
      <c r="O94" s="306"/>
    </row>
    <row r="95" spans="1:18" ht="15.95" customHeight="1">
      <c r="A95" s="292"/>
      <c r="B95" s="176" t="s">
        <v>362</v>
      </c>
      <c r="C95" s="39"/>
      <c r="D95" s="177">
        <v>2</v>
      </c>
      <c r="E95" s="178">
        <v>0.5</v>
      </c>
      <c r="F95" s="177">
        <v>9</v>
      </c>
      <c r="G95" s="56">
        <f>2.55+0.72+0.4</f>
        <v>3.6699999999999995</v>
      </c>
      <c r="H95" s="56">
        <f>+PRODUCT(D95,F95:G95)</f>
        <v>66.059999999999988</v>
      </c>
      <c r="I95" s="59">
        <f>+IF($D95&gt;0,IF(E95=I$7,D95*F95*G95,),)</f>
        <v>0</v>
      </c>
      <c r="J95" s="59">
        <f>+IF($D95&gt;0,IF(E95=J$7,D95*F95*G95,),)</f>
        <v>0</v>
      </c>
      <c r="K95" s="59">
        <f>+IF($D95&gt;0,IF(E95=K$7,D95*F95*G95,),)</f>
        <v>66.059999999999988</v>
      </c>
      <c r="L95" s="59">
        <f>+IF($D95&gt;0,IF(E95=L$7,D95*F95*G95,),)</f>
        <v>0</v>
      </c>
      <c r="M95" s="59">
        <f>+IF($D95&gt;0,IF(E95=M$7,D95*F95*G95,),)</f>
        <v>0</v>
      </c>
      <c r="N95" s="59">
        <f>+IF($D95&gt;0,IF(E95=N$7,D95*F95*G95,),)</f>
        <v>0</v>
      </c>
      <c r="O95" s="173">
        <f>+I95*I$8+J95*J$8+K95*K$8+L95*L$8+M95*M$8+N95*N$8</f>
        <v>65.399399999999986</v>
      </c>
    </row>
    <row r="96" spans="1:18" ht="15.95" customHeight="1">
      <c r="A96" s="292"/>
      <c r="B96" s="176" t="s">
        <v>362</v>
      </c>
      <c r="C96" s="39"/>
      <c r="D96" s="177">
        <v>2</v>
      </c>
      <c r="E96" s="178">
        <v>0.5</v>
      </c>
      <c r="F96" s="177">
        <v>9</v>
      </c>
      <c r="G96" s="56">
        <f>2.55+0.72+0.4</f>
        <v>3.6699999999999995</v>
      </c>
      <c r="H96" s="56">
        <f>+PRODUCT(D96,F96:G96)</f>
        <v>66.059999999999988</v>
      </c>
      <c r="I96" s="59">
        <f>+IF($D96&gt;0,IF(E96=I$7,D96*F96*G96,),)</f>
        <v>0</v>
      </c>
      <c r="J96" s="59">
        <f>+IF($D96&gt;0,IF(E96=J$7,D96*F96*G96,),)</f>
        <v>0</v>
      </c>
      <c r="K96" s="59">
        <f>+IF($D96&gt;0,IF(E96=K$7,D96*F96*G96,),)</f>
        <v>66.059999999999988</v>
      </c>
      <c r="L96" s="59">
        <f>+IF($D96&gt;0,IF(E96=L$7,D96*F96*G96,),)</f>
        <v>0</v>
      </c>
      <c r="M96" s="59">
        <f>+IF($D96&gt;0,IF(E96=M$7,D96*F96*G96,),)</f>
        <v>0</v>
      </c>
      <c r="N96" s="59">
        <f>+IF($D96&gt;0,IF(E96=N$7,D96*F96*G96,),)</f>
        <v>0</v>
      </c>
      <c r="O96" s="173">
        <f>+I96*I$8+J96*J$8+K96*K$8+L96*L$8+M96*M$8+N96*N$8</f>
        <v>65.399399999999986</v>
      </c>
    </row>
    <row r="97" spans="1:18" ht="15.95" customHeight="1">
      <c r="A97" s="292"/>
      <c r="B97" s="176" t="s">
        <v>362</v>
      </c>
      <c r="C97" s="39"/>
      <c r="D97" s="56">
        <v>2</v>
      </c>
      <c r="E97" s="57">
        <v>0.625</v>
      </c>
      <c r="F97" s="56">
        <v>8</v>
      </c>
      <c r="G97" s="56">
        <f>1.25+0.72</f>
        <v>1.97</v>
      </c>
      <c r="H97" s="56">
        <f>+PRODUCT(D97,F97:G97)</f>
        <v>31.52</v>
      </c>
      <c r="I97" s="59">
        <f>+IF($D97&gt;0,IF(E97=I$7,D97*F97*G97,),)</f>
        <v>0</v>
      </c>
      <c r="J97" s="59">
        <f>+IF($D97&gt;0,IF(E97=J$7,D97*F97*G97,),)</f>
        <v>0</v>
      </c>
      <c r="K97" s="59">
        <f>+IF($D97&gt;0,IF(E97=K$7,D97*F97*G97,),)</f>
        <v>0</v>
      </c>
      <c r="L97" s="59">
        <f>+IF($D97&gt;0,IF(E97=L$7,D97*F97*G97,),)</f>
        <v>31.52</v>
      </c>
      <c r="M97" s="59">
        <f>+IF($D97&gt;0,IF(E97=M$7,D97*F97*G97,),)</f>
        <v>0</v>
      </c>
      <c r="N97" s="59">
        <f>+IF($D97&gt;0,IF(E97=N$7,D97*F97*G97,),)</f>
        <v>0</v>
      </c>
      <c r="O97" s="173">
        <f>+I97*I$8+J97*J$8+K97*K$8+L97*L$8+M97*M$8+N97*N$8</f>
        <v>48.856000000000002</v>
      </c>
      <c r="Q97" s="174">
        <f>+Q96+0.25</f>
        <v>0.25</v>
      </c>
      <c r="R97" s="175">
        <f>ROUND(2*(((2.6^2)-(Q97^2))^(0.5)),2)</f>
        <v>5.18</v>
      </c>
    </row>
    <row r="98" spans="1:18" ht="15.95" customHeight="1">
      <c r="A98" s="292"/>
      <c r="B98" s="176" t="s">
        <v>385</v>
      </c>
      <c r="C98" s="39"/>
      <c r="D98" s="177">
        <v>2</v>
      </c>
      <c r="E98" s="178">
        <v>0.5</v>
      </c>
      <c r="F98" s="177">
        <v>20</v>
      </c>
      <c r="G98" s="56">
        <f>2.35+2*0.1</f>
        <v>2.5500000000000003</v>
      </c>
      <c r="H98" s="56">
        <f>+PRODUCT(D98,F98:G98)</f>
        <v>102.00000000000001</v>
      </c>
      <c r="I98" s="59">
        <f>+IF($D98&gt;0,IF(E98=I$7,D98*F98*G98,),)</f>
        <v>0</v>
      </c>
      <c r="J98" s="59">
        <f>+IF($D98&gt;0,IF(E98=J$7,D98*F98*G98,),)</f>
        <v>0</v>
      </c>
      <c r="K98" s="59">
        <f>+IF($D98&gt;0,IF(E98=K$7,D98*F98*G98,),)</f>
        <v>102.00000000000001</v>
      </c>
      <c r="L98" s="59">
        <f>+IF($D98&gt;0,IF(E98=L$7,D98*F98*G98,),)</f>
        <v>0</v>
      </c>
      <c r="M98" s="59">
        <f>+IF($D98&gt;0,IF(E98=M$7,D98*F98*G98,),)</f>
        <v>0</v>
      </c>
      <c r="N98" s="59">
        <f>+IF($D98&gt;0,IF(E98=N$7,D98*F98*G98,),)</f>
        <v>0</v>
      </c>
      <c r="O98" s="173">
        <f>+I98*I$8+J98*J$8+K98*K$8+L98*L$8+M98*M$8+N98*N$8</f>
        <v>100.98000000000002</v>
      </c>
    </row>
    <row r="99" spans="1:18" ht="15.95" customHeight="1">
      <c r="A99" s="292"/>
      <c r="B99" s="176" t="s">
        <v>384</v>
      </c>
      <c r="C99" s="177"/>
      <c r="D99" s="177"/>
      <c r="E99" s="178"/>
      <c r="F99" s="177"/>
      <c r="G99" s="56"/>
      <c r="H99" s="58"/>
      <c r="I99" s="59"/>
      <c r="J99" s="59"/>
      <c r="K99" s="59"/>
      <c r="L99" s="59"/>
      <c r="M99" s="59"/>
      <c r="N99" s="59"/>
      <c r="O99" s="306"/>
    </row>
    <row r="100" spans="1:18" ht="15.95" customHeight="1">
      <c r="A100" s="292"/>
      <c r="B100" s="176" t="s">
        <v>362</v>
      </c>
      <c r="C100" s="39"/>
      <c r="D100" s="177">
        <v>2</v>
      </c>
      <c r="E100" s="178">
        <v>0.5</v>
      </c>
      <c r="F100" s="177">
        <v>16</v>
      </c>
      <c r="G100" s="56">
        <f>0.6+0.72+0.4</f>
        <v>1.7199999999999998</v>
      </c>
      <c r="H100" s="56">
        <f>+PRODUCT(D100,F100:G100)</f>
        <v>55.039999999999992</v>
      </c>
      <c r="I100" s="59">
        <f>+IF($D100&gt;0,IF(E100=I$7,D100*F100*G100,),)</f>
        <v>0</v>
      </c>
      <c r="J100" s="59">
        <f>+IF($D100&gt;0,IF(E100=J$7,D100*F100*G100,),)</f>
        <v>0</v>
      </c>
      <c r="K100" s="59">
        <f>+IF($D100&gt;0,IF(E100=K$7,D100*F100*G100,),)</f>
        <v>55.039999999999992</v>
      </c>
      <c r="L100" s="59">
        <f>+IF($D100&gt;0,IF(E100=L$7,D100*F100*G100,),)</f>
        <v>0</v>
      </c>
      <c r="M100" s="59">
        <f>+IF($D100&gt;0,IF(E100=M$7,D100*F100*G100,),)</f>
        <v>0</v>
      </c>
      <c r="N100" s="59">
        <f>+IF($D100&gt;0,IF(E100=N$7,D100*F100*G100,),)</f>
        <v>0</v>
      </c>
      <c r="O100" s="173">
        <f>+I100*I$8+J100*J$8+K100*K$8+L100*L$8+M100*M$8+N100*N$8</f>
        <v>54.489599999999989</v>
      </c>
    </row>
    <row r="101" spans="1:18" ht="15.95" customHeight="1">
      <c r="A101" s="292"/>
      <c r="B101" s="176" t="s">
        <v>362</v>
      </c>
      <c r="C101" s="39"/>
      <c r="D101" s="177">
        <v>2</v>
      </c>
      <c r="E101" s="178">
        <v>0.5</v>
      </c>
      <c r="F101" s="177">
        <v>16</v>
      </c>
      <c r="G101" s="56">
        <f>0.6+0.72+0.4</f>
        <v>1.7199999999999998</v>
      </c>
      <c r="H101" s="56">
        <f>+PRODUCT(D101,F101:G101)</f>
        <v>55.039999999999992</v>
      </c>
      <c r="I101" s="59">
        <f>+IF($D101&gt;0,IF(E101=I$7,D101*F101*G101,),)</f>
        <v>0</v>
      </c>
      <c r="J101" s="59">
        <f>+IF($D101&gt;0,IF(E101=J$7,D101*F101*G101,),)</f>
        <v>0</v>
      </c>
      <c r="K101" s="59">
        <f>+IF($D101&gt;0,IF(E101=K$7,D101*F101*G101,),)</f>
        <v>55.039999999999992</v>
      </c>
      <c r="L101" s="59">
        <f>+IF($D101&gt;0,IF(E101=L$7,D101*F101*G101,),)</f>
        <v>0</v>
      </c>
      <c r="M101" s="59">
        <f>+IF($D101&gt;0,IF(E101=M$7,D101*F101*G101,),)</f>
        <v>0</v>
      </c>
      <c r="N101" s="59">
        <f>+IF($D101&gt;0,IF(E101=N$7,D101*F101*G101,),)</f>
        <v>0</v>
      </c>
      <c r="O101" s="173">
        <f>+I101*I$8+J101*J$8+K101*K$8+L101*L$8+M101*M$8+N101*N$8</f>
        <v>54.489599999999989</v>
      </c>
    </row>
    <row r="102" spans="1:18" ht="15.95" customHeight="1">
      <c r="A102" s="292"/>
      <c r="B102" s="176" t="s">
        <v>385</v>
      </c>
      <c r="C102" s="39"/>
      <c r="D102" s="177">
        <v>2</v>
      </c>
      <c r="E102" s="178">
        <v>0.5</v>
      </c>
      <c r="F102" s="177">
        <v>6</v>
      </c>
      <c r="G102" s="56">
        <f>2.35+2*0.1</f>
        <v>2.5500000000000003</v>
      </c>
      <c r="H102" s="56">
        <f>+PRODUCT(D102,F102:G102)</f>
        <v>30.6</v>
      </c>
      <c r="I102" s="59">
        <f>+IF($D102&gt;0,IF(E102=I$7,D102*F102*G102,),)</f>
        <v>0</v>
      </c>
      <c r="J102" s="59">
        <f>+IF($D102&gt;0,IF(E102=J$7,D102*F102*G102,),)</f>
        <v>0</v>
      </c>
      <c r="K102" s="59">
        <f>+IF($D102&gt;0,IF(E102=K$7,D102*F102*G102,),)</f>
        <v>30.6</v>
      </c>
      <c r="L102" s="59">
        <f>+IF($D102&gt;0,IF(E102=L$7,D102*F102*G102,),)</f>
        <v>0</v>
      </c>
      <c r="M102" s="59">
        <f>+IF($D102&gt;0,IF(E102=M$7,D102*F102*G102,),)</f>
        <v>0</v>
      </c>
      <c r="N102" s="59">
        <f>+IF($D102&gt;0,IF(E102=N$7,D102*F102*G102,),)</f>
        <v>0</v>
      </c>
      <c r="O102" s="173">
        <f>+I102*I$8+J102*J$8+K102*K$8+L102*L$8+M102*M$8+N102*N$8</f>
        <v>30.294</v>
      </c>
    </row>
    <row r="103" spans="1:18" s="64" customFormat="1" ht="15.95" customHeight="1">
      <c r="A103" s="292">
        <f>+'2.caseta de valvulas'!A100</f>
        <v>1.1602051199999988</v>
      </c>
      <c r="B103" s="75" t="str">
        <f>+'2.caseta de valvulas'!B100</f>
        <v>Acero estruc. trabajado p/vigas rectas (costo prom. incl. Desperdicios)</v>
      </c>
      <c r="C103" s="41"/>
      <c r="D103" s="56"/>
      <c r="E103" s="57"/>
      <c r="F103" s="56"/>
      <c r="G103" s="56"/>
      <c r="H103" s="58"/>
      <c r="I103" s="59"/>
      <c r="J103" s="59"/>
      <c r="K103" s="59"/>
      <c r="L103" s="59"/>
      <c r="M103" s="59"/>
      <c r="N103" s="59"/>
      <c r="O103" s="76">
        <f>SUM(O104:O125)</f>
        <v>871.74600000000009</v>
      </c>
    </row>
    <row r="104" spans="1:18" ht="15.95" customHeight="1">
      <c r="A104" s="292"/>
      <c r="B104" s="176" t="s">
        <v>388</v>
      </c>
      <c r="C104" s="177"/>
      <c r="D104" s="177"/>
      <c r="E104" s="178"/>
      <c r="F104" s="177"/>
      <c r="G104" s="56"/>
      <c r="H104" s="58"/>
      <c r="I104" s="59"/>
      <c r="J104" s="59"/>
      <c r="K104" s="59"/>
      <c r="L104" s="59"/>
      <c r="M104" s="59"/>
      <c r="N104" s="59"/>
      <c r="O104" s="306"/>
    </row>
    <row r="105" spans="1:18" ht="15.95" customHeight="1">
      <c r="A105" s="292"/>
      <c r="B105" s="176" t="s">
        <v>389</v>
      </c>
      <c r="C105" s="39"/>
      <c r="D105" s="177">
        <v>4</v>
      </c>
      <c r="E105" s="178">
        <v>0.625</v>
      </c>
      <c r="F105" s="177">
        <v>2</v>
      </c>
      <c r="G105" s="56">
        <f>6.65+0.15+0.15</f>
        <v>6.9500000000000011</v>
      </c>
      <c r="H105" s="56">
        <f>+PRODUCT(D105,F105:G105)</f>
        <v>55.600000000000009</v>
      </c>
      <c r="I105" s="59">
        <f>+IF($D105&gt;0,IF(E105=I$7,D105*F105*G105,),)</f>
        <v>0</v>
      </c>
      <c r="J105" s="59">
        <f>+IF($D105&gt;0,IF(E105=J$7,D105*F105*G105,),)</f>
        <v>0</v>
      </c>
      <c r="K105" s="59">
        <f>+IF($D105&gt;0,IF(E105=K$7,D105*F105*G105,),)</f>
        <v>0</v>
      </c>
      <c r="L105" s="59">
        <f>+IF($D105&gt;0,IF(E105=L$7,D105*F105*G105,),)</f>
        <v>55.600000000000009</v>
      </c>
      <c r="M105" s="59">
        <f>+IF($D105&gt;0,IF(E105=M$7,D105*F105*G105,),)</f>
        <v>0</v>
      </c>
      <c r="N105" s="59">
        <f>+IF($D105&gt;0,IF(E105=N$7,D105*F105*G105,),)</f>
        <v>0</v>
      </c>
      <c r="O105" s="173">
        <f>+I105*I$8+J105*J$8+K105*K$8+L105*L$8+M105*M$8+N105*N$8</f>
        <v>86.180000000000021</v>
      </c>
    </row>
    <row r="106" spans="1:18" ht="15.95" customHeight="1">
      <c r="A106" s="292"/>
      <c r="B106" s="176" t="s">
        <v>389</v>
      </c>
      <c r="C106" s="39"/>
      <c r="D106" s="177">
        <v>4</v>
      </c>
      <c r="E106" s="178">
        <v>0.625</v>
      </c>
      <c r="F106" s="177">
        <v>2</v>
      </c>
      <c r="G106" s="56">
        <f>6.4+0.15+0.15</f>
        <v>6.7000000000000011</v>
      </c>
      <c r="H106" s="56">
        <f>+PRODUCT(D106,F106:G106)</f>
        <v>53.600000000000009</v>
      </c>
      <c r="I106" s="59">
        <f>+IF($D106&gt;0,IF(E106=I$7,D106*F106*G106,),)</f>
        <v>0</v>
      </c>
      <c r="J106" s="59">
        <f>+IF($D106&gt;0,IF(E106=J$7,D106*F106*G106,),)</f>
        <v>0</v>
      </c>
      <c r="K106" s="59">
        <f>+IF($D106&gt;0,IF(E106=K$7,D106*F106*G106,),)</f>
        <v>0</v>
      </c>
      <c r="L106" s="59">
        <f>+IF($D106&gt;0,IF(E106=L$7,D106*F106*G106,),)</f>
        <v>53.600000000000009</v>
      </c>
      <c r="M106" s="59">
        <f>+IF($D106&gt;0,IF(E106=M$7,D106*F106*G106,),)</f>
        <v>0</v>
      </c>
      <c r="N106" s="59">
        <f>+IF($D106&gt;0,IF(E106=N$7,D106*F106*G106,),)</f>
        <v>0</v>
      </c>
      <c r="O106" s="173">
        <f>+I106*I$8+J106*J$8+K106*K$8+L106*L$8+M106*M$8+N106*N$8</f>
        <v>83.080000000000013</v>
      </c>
    </row>
    <row r="107" spans="1:18" ht="15.95" customHeight="1">
      <c r="A107" s="292"/>
      <c r="B107" s="176" t="s">
        <v>389</v>
      </c>
      <c r="C107" s="39"/>
      <c r="D107" s="56">
        <v>4</v>
      </c>
      <c r="E107" s="57">
        <v>0.625</v>
      </c>
      <c r="F107" s="56">
        <v>2</v>
      </c>
      <c r="G107" s="56">
        <v>4.2</v>
      </c>
      <c r="H107" s="56">
        <f>+PRODUCT(D107,F107:G107)</f>
        <v>33.6</v>
      </c>
      <c r="I107" s="59">
        <f>+IF($D107&gt;0,IF(E107=I$7,D107*F107*G107,),)</f>
        <v>0</v>
      </c>
      <c r="J107" s="59">
        <f>+IF($D107&gt;0,IF(E107=J$7,D107*F107*G107,),)</f>
        <v>0</v>
      </c>
      <c r="K107" s="59">
        <f>+IF($D107&gt;0,IF(E107=K$7,D107*F107*G107,),)</f>
        <v>0</v>
      </c>
      <c r="L107" s="59">
        <f>+IF($D107&gt;0,IF(E107=L$7,D107*F107*G107,),)</f>
        <v>33.6</v>
      </c>
      <c r="M107" s="59">
        <f>+IF($D107&gt;0,IF(E107=M$7,D107*F107*G107,),)</f>
        <v>0</v>
      </c>
      <c r="N107" s="59">
        <f>+IF($D107&gt;0,IF(E107=N$7,D107*F107*G107,),)</f>
        <v>0</v>
      </c>
      <c r="O107" s="173">
        <f>+I107*I$8+J107*J$8+K107*K$8+L107*L$8+M107*M$8+N107*N$8</f>
        <v>52.080000000000005</v>
      </c>
      <c r="Q107" s="174">
        <f>+Q106+0.25</f>
        <v>0.25</v>
      </c>
      <c r="R107" s="175">
        <f>ROUND(2*(((2.6^2)-(Q107^2))^(0.5)),2)</f>
        <v>5.18</v>
      </c>
    </row>
    <row r="108" spans="1:18" ht="15.95" customHeight="1">
      <c r="A108" s="292"/>
      <c r="B108" s="176" t="s">
        <v>389</v>
      </c>
      <c r="C108" s="39"/>
      <c r="D108" s="177">
        <v>2</v>
      </c>
      <c r="E108" s="178">
        <v>0.5</v>
      </c>
      <c r="F108" s="177">
        <v>4</v>
      </c>
      <c r="G108" s="56">
        <v>1.3</v>
      </c>
      <c r="H108" s="56">
        <f>+PRODUCT(D108,F108:G108)</f>
        <v>10.4</v>
      </c>
      <c r="I108" s="59">
        <f>+IF($D108&gt;0,IF(E108=I$7,D108*F108*G108,),)</f>
        <v>0</v>
      </c>
      <c r="J108" s="59">
        <f>+IF($D108&gt;0,IF(E108=J$7,D108*F108*G108,),)</f>
        <v>0</v>
      </c>
      <c r="K108" s="59">
        <f>+IF($D108&gt;0,IF(E108=K$7,D108*F108*G108,),)</f>
        <v>10.4</v>
      </c>
      <c r="L108" s="59">
        <f>+IF($D108&gt;0,IF(E108=L$7,D108*F108*G108,),)</f>
        <v>0</v>
      </c>
      <c r="M108" s="59">
        <f>+IF($D108&gt;0,IF(E108=M$7,D108*F108*G108,),)</f>
        <v>0</v>
      </c>
      <c r="N108" s="59">
        <f>+IF($D108&gt;0,IF(E108=N$7,D108*F108*G108,),)</f>
        <v>0</v>
      </c>
      <c r="O108" s="173">
        <f>+I108*I$8+J108*J$8+K108*K$8+L108*L$8+M108*M$8+N108*N$8</f>
        <v>10.295999999999999</v>
      </c>
    </row>
    <row r="109" spans="1:18" ht="15.95" customHeight="1">
      <c r="A109" s="292"/>
      <c r="B109" s="176" t="s">
        <v>382</v>
      </c>
      <c r="C109" s="39"/>
      <c r="D109" s="177">
        <v>4</v>
      </c>
      <c r="E109" s="178">
        <v>0.375</v>
      </c>
      <c r="F109" s="177">
        <v>34</v>
      </c>
      <c r="G109" s="56">
        <v>1.5</v>
      </c>
      <c r="H109" s="56">
        <f>+PRODUCT(D109,F109:G109)</f>
        <v>204</v>
      </c>
      <c r="I109" s="59">
        <f>+IF($D109&gt;0,IF(E109=I$7,D109*F109*G109,),)</f>
        <v>0</v>
      </c>
      <c r="J109" s="59">
        <f>+IF($D109&gt;0,IF(E109=J$7,D109*F109*G109,),)</f>
        <v>204</v>
      </c>
      <c r="K109" s="59">
        <f>+IF($D109&gt;0,IF(E109=K$7,D109*F109*G109,),)</f>
        <v>0</v>
      </c>
      <c r="L109" s="59">
        <f>+IF($D109&gt;0,IF(E109=L$7,D109*F109*G109,),)</f>
        <v>0</v>
      </c>
      <c r="M109" s="59">
        <f>+IF($D109&gt;0,IF(E109=M$7,D109*F109*G109,),)</f>
        <v>0</v>
      </c>
      <c r="N109" s="59">
        <f>+IF($D109&gt;0,IF(E109=N$7,D109*F109*G109,),)</f>
        <v>0</v>
      </c>
      <c r="O109" s="173">
        <f>+I109*I$8+J109*J$8+K109*K$8+L109*L$8+M109*M$8+N109*N$8</f>
        <v>114.24000000000001</v>
      </c>
    </row>
    <row r="110" spans="1:18" ht="15.95" customHeight="1">
      <c r="A110" s="292"/>
      <c r="B110" s="176" t="s">
        <v>390</v>
      </c>
      <c r="C110" s="177"/>
      <c r="D110" s="177"/>
      <c r="E110" s="178"/>
      <c r="F110" s="177"/>
      <c r="G110" s="56"/>
      <c r="H110" s="58"/>
      <c r="I110" s="59"/>
      <c r="J110" s="59"/>
      <c r="K110" s="59"/>
      <c r="L110" s="59"/>
      <c r="M110" s="59"/>
      <c r="N110" s="59"/>
      <c r="O110" s="306"/>
    </row>
    <row r="111" spans="1:18" ht="15.95" customHeight="1">
      <c r="A111" s="292"/>
      <c r="B111" s="176" t="s">
        <v>389</v>
      </c>
      <c r="C111" s="39"/>
      <c r="D111" s="177">
        <v>3</v>
      </c>
      <c r="E111" s="178">
        <v>0.5</v>
      </c>
      <c r="F111" s="177">
        <v>2</v>
      </c>
      <c r="G111" s="56">
        <f>3.05+0.15+0.15</f>
        <v>3.3499999999999996</v>
      </c>
      <c r="H111" s="56">
        <f>+PRODUCT(D111,F111:G111)</f>
        <v>20.099999999999998</v>
      </c>
      <c r="I111" s="59">
        <f>+IF($D111&gt;0,IF(E111=I$7,D111*F111*G111,),)</f>
        <v>0</v>
      </c>
      <c r="J111" s="59">
        <f>+IF($D111&gt;0,IF(E111=J$7,D111*F111*G111,),)</f>
        <v>0</v>
      </c>
      <c r="K111" s="59">
        <f>+IF($D111&gt;0,IF(E111=K$7,D111*F111*G111,),)</f>
        <v>20.099999999999998</v>
      </c>
      <c r="L111" s="59">
        <f>+IF($D111&gt;0,IF(E111=L$7,D111*F111*G111,),)</f>
        <v>0</v>
      </c>
      <c r="M111" s="59">
        <f>+IF($D111&gt;0,IF(E111=M$7,D111*F111*G111,),)</f>
        <v>0</v>
      </c>
      <c r="N111" s="59">
        <f>+IF($D111&gt;0,IF(E111=N$7,D111*F111*G111,),)</f>
        <v>0</v>
      </c>
      <c r="O111" s="173">
        <f>+I111*I$8+J111*J$8+K111*K$8+L111*L$8+M111*M$8+N111*N$8</f>
        <v>19.898999999999997</v>
      </c>
    </row>
    <row r="112" spans="1:18" ht="15.95" customHeight="1">
      <c r="A112" s="292"/>
      <c r="B112" s="176" t="s">
        <v>389</v>
      </c>
      <c r="C112" s="39"/>
      <c r="D112" s="177">
        <v>3</v>
      </c>
      <c r="E112" s="178">
        <v>0.5</v>
      </c>
      <c r="F112" s="177">
        <v>2</v>
      </c>
      <c r="G112" s="56">
        <f>3.05+0.15+0.15</f>
        <v>3.3499999999999996</v>
      </c>
      <c r="H112" s="56">
        <f>+PRODUCT(D112,F112:G112)</f>
        <v>20.099999999999998</v>
      </c>
      <c r="I112" s="59">
        <f>+IF($D112&gt;0,IF(E112=I$7,D112*F112*G112,),)</f>
        <v>0</v>
      </c>
      <c r="J112" s="59">
        <f>+IF($D112&gt;0,IF(E112=J$7,D112*F112*G112,),)</f>
        <v>0</v>
      </c>
      <c r="K112" s="59">
        <f>+IF($D112&gt;0,IF(E112=K$7,D112*F112*G112,),)</f>
        <v>20.099999999999998</v>
      </c>
      <c r="L112" s="59">
        <f>+IF($D112&gt;0,IF(E112=L$7,D112*F112*G112,),)</f>
        <v>0</v>
      </c>
      <c r="M112" s="59">
        <f>+IF($D112&gt;0,IF(E112=M$7,D112*F112*G112,),)</f>
        <v>0</v>
      </c>
      <c r="N112" s="59">
        <f>+IF($D112&gt;0,IF(E112=N$7,D112*F112*G112,),)</f>
        <v>0</v>
      </c>
      <c r="O112" s="173">
        <f>+I112*I$8+J112*J$8+K112*K$8+L112*L$8+M112*M$8+N112*N$8</f>
        <v>19.898999999999997</v>
      </c>
    </row>
    <row r="113" spans="1:15" ht="15.95" customHeight="1">
      <c r="A113" s="292"/>
      <c r="B113" s="176" t="s">
        <v>382</v>
      </c>
      <c r="C113" s="39"/>
      <c r="D113" s="177">
        <v>3</v>
      </c>
      <c r="E113" s="178">
        <v>0.375</v>
      </c>
      <c r="F113" s="177">
        <v>18</v>
      </c>
      <c r="G113" s="56">
        <v>1.1000000000000001</v>
      </c>
      <c r="H113" s="56">
        <f>+PRODUCT(D113,F113:G113)</f>
        <v>59.400000000000006</v>
      </c>
      <c r="I113" s="59">
        <f>+IF($D113&gt;0,IF(E113=I$7,D113*F113*G113,),)</f>
        <v>0</v>
      </c>
      <c r="J113" s="59">
        <f>+IF($D113&gt;0,IF(E113=J$7,D113*F113*G113,),)</f>
        <v>59.400000000000006</v>
      </c>
      <c r="K113" s="59">
        <f>+IF($D113&gt;0,IF(E113=K$7,D113*F113*G113,),)</f>
        <v>0</v>
      </c>
      <c r="L113" s="59">
        <f>+IF($D113&gt;0,IF(E113=L$7,D113*F113*G113,),)</f>
        <v>0</v>
      </c>
      <c r="M113" s="59">
        <f>+IF($D113&gt;0,IF(E113=M$7,D113*F113*G113,),)</f>
        <v>0</v>
      </c>
      <c r="N113" s="59">
        <f>+IF($D113&gt;0,IF(E113=N$7,D113*F113*G113,),)</f>
        <v>0</v>
      </c>
      <c r="O113" s="173">
        <f>+I113*I$8+J113*J$8+K113*K$8+L113*L$8+M113*M$8+N113*N$8</f>
        <v>33.264000000000003</v>
      </c>
    </row>
    <row r="114" spans="1:15" ht="15.95" customHeight="1">
      <c r="A114" s="292"/>
      <c r="B114" s="176" t="s">
        <v>391</v>
      </c>
      <c r="C114" s="177"/>
      <c r="D114" s="177"/>
      <c r="E114" s="178"/>
      <c r="F114" s="177"/>
      <c r="G114" s="56"/>
      <c r="H114" s="58"/>
      <c r="I114" s="59"/>
      <c r="J114" s="59"/>
      <c r="K114" s="59"/>
      <c r="L114" s="59"/>
      <c r="M114" s="59"/>
      <c r="N114" s="59"/>
      <c r="O114" s="173"/>
    </row>
    <row r="115" spans="1:15" ht="15.95" customHeight="1">
      <c r="A115" s="292"/>
      <c r="B115" s="176" t="s">
        <v>389</v>
      </c>
      <c r="C115" s="39"/>
      <c r="D115" s="177">
        <v>2</v>
      </c>
      <c r="E115" s="178">
        <v>0.5</v>
      </c>
      <c r="F115" s="177">
        <v>2</v>
      </c>
      <c r="G115" s="56">
        <f>12.5+0.6+0.15+0.15</f>
        <v>13.4</v>
      </c>
      <c r="H115" s="56">
        <f>+PRODUCT(D115,F115:G115)</f>
        <v>53.6</v>
      </c>
      <c r="I115" s="59">
        <f>+IF($D115&gt;0,IF(E115=I$7,D115*F115*G115,),)</f>
        <v>0</v>
      </c>
      <c r="J115" s="59">
        <f>+IF($D115&gt;0,IF(E115=J$7,D115*F115*G115,),)</f>
        <v>0</v>
      </c>
      <c r="K115" s="59">
        <f>+IF($D115&gt;0,IF(E115=K$7,D115*F115*G115,),)</f>
        <v>53.6</v>
      </c>
      <c r="L115" s="59">
        <f>+IF($D115&gt;0,IF(E115=L$7,D115*F115*G115,),)</f>
        <v>0</v>
      </c>
      <c r="M115" s="59">
        <f>+IF($D115&gt;0,IF(E115=M$7,D115*F115*G115,),)</f>
        <v>0</v>
      </c>
      <c r="N115" s="59">
        <f>+IF($D115&gt;0,IF(E115=N$7,D115*F115*G115,),)</f>
        <v>0</v>
      </c>
      <c r="O115" s="173">
        <f>+I115*I$8+J115*J$8+K115*K$8+L115*L$8+M115*M$8+N115*N$8</f>
        <v>53.064</v>
      </c>
    </row>
    <row r="116" spans="1:15" ht="15.95" customHeight="1">
      <c r="A116" s="292"/>
      <c r="B116" s="176" t="s">
        <v>389</v>
      </c>
      <c r="C116" s="39"/>
      <c r="D116" s="177">
        <v>2</v>
      </c>
      <c r="E116" s="178">
        <v>0.625</v>
      </c>
      <c r="F116" s="177">
        <v>2</v>
      </c>
      <c r="G116" s="56">
        <f>12.25+0.6+0.15+0.15</f>
        <v>13.15</v>
      </c>
      <c r="H116" s="56">
        <f>+PRODUCT(D116,F116:G116)</f>
        <v>52.6</v>
      </c>
      <c r="I116" s="59">
        <f>+IF($D116&gt;0,IF(E116=I$7,D116*F116*G116,),)</f>
        <v>0</v>
      </c>
      <c r="J116" s="59">
        <f>+IF($D116&gt;0,IF(E116=J$7,D116*F116*G116,),)</f>
        <v>0</v>
      </c>
      <c r="K116" s="59">
        <f>+IF($D116&gt;0,IF(E116=K$7,D116*F116*G116,),)</f>
        <v>0</v>
      </c>
      <c r="L116" s="59">
        <f>+IF($D116&gt;0,IF(E116=L$7,D116*F116*G116,),)</f>
        <v>52.6</v>
      </c>
      <c r="M116" s="59">
        <f>+IF($D116&gt;0,IF(E116=M$7,D116*F116*G116,),)</f>
        <v>0</v>
      </c>
      <c r="N116" s="59">
        <f>+IF($D116&gt;0,IF(E116=N$7,D116*F116*G116,),)</f>
        <v>0</v>
      </c>
      <c r="O116" s="173">
        <f>+I116*I$8+J116*J$8+K116*K$8+L116*L$8+M116*M$8+N116*N$8</f>
        <v>81.53</v>
      </c>
    </row>
    <row r="117" spans="1:15" ht="15.95" customHeight="1">
      <c r="A117" s="292"/>
      <c r="B117" s="176" t="s">
        <v>389</v>
      </c>
      <c r="C117" s="39"/>
      <c r="D117" s="177">
        <v>2</v>
      </c>
      <c r="E117" s="178">
        <v>0.5</v>
      </c>
      <c r="F117" s="177">
        <v>2</v>
      </c>
      <c r="G117" s="56">
        <v>0.95</v>
      </c>
      <c r="H117" s="56">
        <f>+PRODUCT(D117,F117:G117)</f>
        <v>3.8</v>
      </c>
      <c r="I117" s="59">
        <f>+IF($D117&gt;0,IF(E117=I$7,D117*F117*G117,),)</f>
        <v>0</v>
      </c>
      <c r="J117" s="59">
        <f>+IF($D117&gt;0,IF(E117=J$7,D117*F117*G117,),)</f>
        <v>0</v>
      </c>
      <c r="K117" s="59">
        <f>+IF($D117&gt;0,IF(E117=K$7,D117*F117*G117,),)</f>
        <v>3.8</v>
      </c>
      <c r="L117" s="59">
        <f>+IF($D117&gt;0,IF(E117=L$7,D117*F117*G117,),)</f>
        <v>0</v>
      </c>
      <c r="M117" s="59">
        <f>+IF($D117&gt;0,IF(E117=M$7,D117*F117*G117,),)</f>
        <v>0</v>
      </c>
      <c r="N117" s="59">
        <f>+IF($D117&gt;0,IF(E117=N$7,D117*F117*G117,),)</f>
        <v>0</v>
      </c>
      <c r="O117" s="173">
        <f>+I117*I$8+J117*J$8+K117*K$8+L117*L$8+M117*M$8+N117*N$8</f>
        <v>3.762</v>
      </c>
    </row>
    <row r="118" spans="1:15" ht="15.95" customHeight="1">
      <c r="A118" s="292"/>
      <c r="B118" s="176" t="s">
        <v>382</v>
      </c>
      <c r="C118" s="39"/>
      <c r="D118" s="177">
        <v>2</v>
      </c>
      <c r="E118" s="178">
        <v>0.375</v>
      </c>
      <c r="F118" s="177">
        <f>25+25+25</f>
        <v>75</v>
      </c>
      <c r="G118" s="56">
        <v>1.3</v>
      </c>
      <c r="H118" s="56">
        <f>+PRODUCT(D118,F118:G118)</f>
        <v>195</v>
      </c>
      <c r="I118" s="59">
        <f>+IF($D118&gt;0,IF(E118=I$7,D118*F118*G118,),)</f>
        <v>0</v>
      </c>
      <c r="J118" s="59">
        <f>+IF($D118&gt;0,IF(E118=J$7,D118*F118*G118,),)</f>
        <v>195</v>
      </c>
      <c r="K118" s="59">
        <f>+IF($D118&gt;0,IF(E118=K$7,D118*F118*G118,),)</f>
        <v>0</v>
      </c>
      <c r="L118" s="59">
        <f>+IF($D118&gt;0,IF(E118=L$7,D118*F118*G118,),)</f>
        <v>0</v>
      </c>
      <c r="M118" s="59">
        <f>+IF($D118&gt;0,IF(E118=M$7,D118*F118*G118,),)</f>
        <v>0</v>
      </c>
      <c r="N118" s="59">
        <f>+IF($D118&gt;0,IF(E118=N$7,D118*F118*G118,),)</f>
        <v>0</v>
      </c>
      <c r="O118" s="173">
        <f>+I118*I$8+J118*J$8+K118*K$8+L118*L$8+M118*M$8+N118*N$8</f>
        <v>109.20000000000002</v>
      </c>
    </row>
    <row r="119" spans="1:15" ht="15.95" customHeight="1">
      <c r="A119" s="292"/>
      <c r="B119" s="176" t="s">
        <v>391</v>
      </c>
      <c r="C119" s="177"/>
      <c r="D119" s="177"/>
      <c r="E119" s="178"/>
      <c r="F119" s="177"/>
      <c r="G119" s="56"/>
      <c r="H119" s="58"/>
      <c r="I119" s="59"/>
      <c r="J119" s="59"/>
      <c r="K119" s="59"/>
      <c r="L119" s="59"/>
      <c r="M119" s="59"/>
      <c r="N119" s="59"/>
      <c r="O119" s="173"/>
    </row>
    <row r="120" spans="1:15" ht="15.95" customHeight="1">
      <c r="A120" s="292"/>
      <c r="B120" s="176" t="s">
        <v>389</v>
      </c>
      <c r="C120" s="39"/>
      <c r="D120" s="177">
        <v>2</v>
      </c>
      <c r="E120" s="178">
        <v>0.5</v>
      </c>
      <c r="F120" s="177">
        <v>2</v>
      </c>
      <c r="G120" s="56">
        <f>8.25+0.15+0.15</f>
        <v>8.5500000000000007</v>
      </c>
      <c r="H120" s="56">
        <f>+PRODUCT(D120,F120:G120)</f>
        <v>34.200000000000003</v>
      </c>
      <c r="I120" s="59">
        <f>+IF($D120&gt;0,IF(E120=I$7,D120*F120*G120,),)</f>
        <v>0</v>
      </c>
      <c r="J120" s="59">
        <f>+IF($D120&gt;0,IF(E120=J$7,D120*F120*G120,),)</f>
        <v>0</v>
      </c>
      <c r="K120" s="59">
        <f>+IF($D120&gt;0,IF(E120=K$7,D120*F120*G120,),)</f>
        <v>34.200000000000003</v>
      </c>
      <c r="L120" s="59">
        <f>+IF($D120&gt;0,IF(E120=L$7,D120*F120*G120,),)</f>
        <v>0</v>
      </c>
      <c r="M120" s="59">
        <f>+IF($D120&gt;0,IF(E120=M$7,D120*F120*G120,),)</f>
        <v>0</v>
      </c>
      <c r="N120" s="59">
        <f>+IF($D120&gt;0,IF(E120=N$7,D120*F120*G120,),)</f>
        <v>0</v>
      </c>
      <c r="O120" s="173">
        <f>+I120*I$8+J120*J$8+K120*K$8+L120*L$8+M120*M$8+N120*N$8</f>
        <v>33.858000000000004</v>
      </c>
    </row>
    <row r="121" spans="1:15" ht="15.95" customHeight="1">
      <c r="A121" s="292"/>
      <c r="B121" s="176" t="s">
        <v>389</v>
      </c>
      <c r="C121" s="39"/>
      <c r="D121" s="177">
        <v>2</v>
      </c>
      <c r="E121" s="178">
        <v>0.625</v>
      </c>
      <c r="F121" s="177">
        <v>2</v>
      </c>
      <c r="G121" s="56">
        <f>8.25+0.15+0.15</f>
        <v>8.5500000000000007</v>
      </c>
      <c r="H121" s="56">
        <f>+PRODUCT(D121,F121:G121)</f>
        <v>34.200000000000003</v>
      </c>
      <c r="I121" s="59">
        <f>+IF($D121&gt;0,IF(E121=I$7,D121*F121*G121,),)</f>
        <v>0</v>
      </c>
      <c r="J121" s="59">
        <f>+IF($D121&gt;0,IF(E121=J$7,D121*F121*G121,),)</f>
        <v>0</v>
      </c>
      <c r="K121" s="59">
        <f>+IF($D121&gt;0,IF(E121=K$7,D121*F121*G121,),)</f>
        <v>0</v>
      </c>
      <c r="L121" s="59">
        <f>+IF($D121&gt;0,IF(E121=L$7,D121*F121*G121,),)</f>
        <v>34.200000000000003</v>
      </c>
      <c r="M121" s="59">
        <f>+IF($D121&gt;0,IF(E121=M$7,D121*F121*G121,),)</f>
        <v>0</v>
      </c>
      <c r="N121" s="59">
        <f>+IF($D121&gt;0,IF(E121=N$7,D121*F121*G121,),)</f>
        <v>0</v>
      </c>
      <c r="O121" s="173">
        <f>+I121*I$8+J121*J$8+K121*K$8+L121*L$8+M121*M$8+N121*N$8</f>
        <v>53.010000000000005</v>
      </c>
    </row>
    <row r="122" spans="1:15" ht="15.95" customHeight="1">
      <c r="A122" s="292"/>
      <c r="B122" s="176" t="s">
        <v>382</v>
      </c>
      <c r="C122" s="39"/>
      <c r="D122" s="177">
        <v>2</v>
      </c>
      <c r="E122" s="178">
        <v>0.375</v>
      </c>
      <c r="F122" s="177">
        <f>25+25</f>
        <v>50</v>
      </c>
      <c r="G122" s="56">
        <v>1.3</v>
      </c>
      <c r="H122" s="56">
        <f>+PRODUCT(D122,F122:G122)</f>
        <v>130</v>
      </c>
      <c r="I122" s="59">
        <f>+IF($D122&gt;0,IF(E122=I$7,D122*F122*G122,),)</f>
        <v>0</v>
      </c>
      <c r="J122" s="59">
        <f>+IF($D122&gt;0,IF(E122=J$7,D122*F122*G122,),)</f>
        <v>130</v>
      </c>
      <c r="K122" s="59">
        <f>+IF($D122&gt;0,IF(E122=K$7,D122*F122*G122,),)</f>
        <v>0</v>
      </c>
      <c r="L122" s="59">
        <f>+IF($D122&gt;0,IF(E122=L$7,D122*F122*G122,),)</f>
        <v>0</v>
      </c>
      <c r="M122" s="59">
        <f>+IF($D122&gt;0,IF(E122=M$7,D122*F122*G122,),)</f>
        <v>0</v>
      </c>
      <c r="N122" s="59">
        <f>+IF($D122&gt;0,IF(E122=N$7,D122*F122*G122,),)</f>
        <v>0</v>
      </c>
      <c r="O122" s="173">
        <f>+I122*I$8+J122*J$8+K122*K$8+L122*L$8+M122*M$8+N122*N$8</f>
        <v>72.800000000000011</v>
      </c>
    </row>
    <row r="123" spans="1:15" ht="15.95" customHeight="1">
      <c r="A123" s="292"/>
      <c r="B123" s="179" t="s">
        <v>392</v>
      </c>
      <c r="C123" s="177"/>
      <c r="D123" s="177"/>
      <c r="E123" s="178"/>
      <c r="F123" s="177"/>
      <c r="G123" s="56"/>
      <c r="H123" s="58"/>
      <c r="I123" s="59"/>
      <c r="J123" s="59"/>
      <c r="K123" s="59"/>
      <c r="L123" s="59"/>
      <c r="M123" s="59"/>
      <c r="N123" s="59"/>
      <c r="O123" s="173"/>
    </row>
    <row r="124" spans="1:15" ht="15.95" customHeight="1">
      <c r="A124" s="292"/>
      <c r="B124" s="176" t="s">
        <v>389</v>
      </c>
      <c r="C124" s="39"/>
      <c r="D124" s="177">
        <v>1</v>
      </c>
      <c r="E124" s="178">
        <v>0.375</v>
      </c>
      <c r="F124" s="177">
        <v>4</v>
      </c>
      <c r="G124" s="56">
        <f>0.5+2.8+1.6+2.35+0.6+0.6+3.05+2.6</f>
        <v>14.1</v>
      </c>
      <c r="H124" s="56">
        <f>+PRODUCT(D124,F124:G124)</f>
        <v>56.4</v>
      </c>
      <c r="I124" s="59">
        <f>+IF($D124&gt;0,IF(E124=I$7,D124*F124*G124,),)</f>
        <v>0</v>
      </c>
      <c r="J124" s="59">
        <f>+IF($D124&gt;0,IF(E124=J$7,D124*F124*G124,),)</f>
        <v>56.4</v>
      </c>
      <c r="K124" s="59">
        <f>+IF($D124&gt;0,IF(E124=K$7,D124*F124*G124,),)</f>
        <v>0</v>
      </c>
      <c r="L124" s="59">
        <f>+IF($D124&gt;0,IF(E124=L$7,D124*F124*G124,),)</f>
        <v>0</v>
      </c>
      <c r="M124" s="59">
        <f>+IF($D124&gt;0,IF(E124=M$7,D124*F124*G124,),)</f>
        <v>0</v>
      </c>
      <c r="N124" s="59">
        <f>+IF($D124&gt;0,IF(E124=N$7,D124*F124*G124,),)</f>
        <v>0</v>
      </c>
      <c r="O124" s="173">
        <f>+I124*I$8+J124*J$8+K124*K$8+L124*L$8+M124*M$8+N124*N$8</f>
        <v>31.584000000000003</v>
      </c>
    </row>
    <row r="125" spans="1:15" ht="15.95" customHeight="1">
      <c r="A125" s="292"/>
      <c r="B125" s="176" t="s">
        <v>382</v>
      </c>
      <c r="C125" s="39"/>
      <c r="D125" s="177">
        <v>1</v>
      </c>
      <c r="E125" s="178">
        <v>0.25</v>
      </c>
      <c r="F125" s="177">
        <v>70</v>
      </c>
      <c r="G125" s="56">
        <v>0.8</v>
      </c>
      <c r="H125" s="56">
        <f>+PRODUCT(D125,F125:G125)</f>
        <v>56</v>
      </c>
      <c r="I125" s="59">
        <f>+IF($D125&gt;0,IF(E125=I$7,D125*F125*G125,),)</f>
        <v>56</v>
      </c>
      <c r="J125" s="59">
        <f>+IF($D125&gt;0,IF(E125=J$7,D125*F125*G125,),)</f>
        <v>0</v>
      </c>
      <c r="K125" s="59">
        <f>+IF($D125&gt;0,IF(E125=K$7,D125*F125*G125,),)</f>
        <v>0</v>
      </c>
      <c r="L125" s="59">
        <f>+IF($D125&gt;0,IF(E125=L$7,D125*F125*G125,),)</f>
        <v>0</v>
      </c>
      <c r="M125" s="59">
        <f>+IF($D125&gt;0,IF(E125=M$7,D125*F125*G125,),)</f>
        <v>0</v>
      </c>
      <c r="N125" s="59">
        <f>+IF($D125&gt;0,IF(E125=N$7,D125*F125*G125,),)</f>
        <v>0</v>
      </c>
      <c r="O125" s="173">
        <f>+I125*I$8+J125*J$8+K125*K$8+L125*L$8+M125*M$8+N125*N$8</f>
        <v>14</v>
      </c>
    </row>
    <row r="126" spans="1:15" s="64" customFormat="1" ht="15.95" customHeight="1">
      <c r="A126" s="292">
        <f>+'2.caseta de valvulas'!A113</f>
        <v>1.1602051499999986</v>
      </c>
      <c r="B126" s="75" t="str">
        <f>+'2.caseta de valvulas'!B113</f>
        <v>Acero estruc. trabajado p/losa maciza (costo prom. incl. Desperdicios)</v>
      </c>
      <c r="C126" s="41"/>
      <c r="D126" s="56"/>
      <c r="E126" s="57"/>
      <c r="F126" s="56"/>
      <c r="G126" s="56"/>
      <c r="H126" s="58"/>
      <c r="I126" s="59"/>
      <c r="J126" s="59"/>
      <c r="K126" s="59"/>
      <c r="L126" s="59"/>
      <c r="M126" s="59"/>
      <c r="N126" s="59"/>
      <c r="O126" s="76">
        <f>SUM(O127:O135)</f>
        <v>1298.8500000000001</v>
      </c>
    </row>
    <row r="127" spans="1:15" s="64" customFormat="1" ht="15.95" customHeight="1">
      <c r="A127" s="292"/>
      <c r="B127" s="171" t="s">
        <v>393</v>
      </c>
      <c r="C127" s="41"/>
      <c r="D127" s="56"/>
      <c r="E127" s="57"/>
      <c r="F127" s="56"/>
      <c r="G127" s="56"/>
      <c r="H127" s="58"/>
      <c r="I127" s="59"/>
      <c r="J127" s="59"/>
      <c r="K127" s="59"/>
      <c r="L127" s="59"/>
      <c r="M127" s="59"/>
      <c r="N127" s="59"/>
      <c r="O127" s="60"/>
    </row>
    <row r="128" spans="1:15" s="64" customFormat="1" ht="15.95" customHeight="1">
      <c r="A128" s="292"/>
      <c r="B128" s="171" t="s">
        <v>394</v>
      </c>
      <c r="C128" s="39"/>
      <c r="D128" s="56">
        <v>1</v>
      </c>
      <c r="E128" s="57">
        <v>0.5</v>
      </c>
      <c r="F128" s="56">
        <v>24</v>
      </c>
      <c r="G128" s="56">
        <f>12.55-0.05+2*0.2+0.6</f>
        <v>13.5</v>
      </c>
      <c r="H128" s="58">
        <f>+F128*G128*D128</f>
        <v>324</v>
      </c>
      <c r="I128" s="59">
        <f>+IF($D128&gt;0,IF(E128=I$7,D128*F128*G128,),)</f>
        <v>0</v>
      </c>
      <c r="J128" s="59">
        <f>+IF($D128&gt;0,IF(E128=J$7,D128*F128*G128,),)</f>
        <v>0</v>
      </c>
      <c r="K128" s="59">
        <f>+IF($D128&gt;0,IF(E128=K$7,D128*F128*G128,),)</f>
        <v>324</v>
      </c>
      <c r="L128" s="59">
        <f>+IF($D128&gt;0,IF(E128=L$7,D128*F128*G128,),)</f>
        <v>0</v>
      </c>
      <c r="M128" s="59">
        <f>+IF($D128&gt;0,IF(E128=M$7,D128*F128*G128,),)</f>
        <v>0</v>
      </c>
      <c r="N128" s="59">
        <f>+IF($D128&gt;0,IF(E128=N$7,D128*F128*G128,),)</f>
        <v>0</v>
      </c>
      <c r="O128" s="60">
        <f>+I128*I$8+J128*J$8+K128*K$8+L128*L$8+M128*M$8+N128*N$8</f>
        <v>320.76</v>
      </c>
    </row>
    <row r="129" spans="1:15" s="64" customFormat="1" ht="15.95" customHeight="1">
      <c r="A129" s="292"/>
      <c r="B129" s="171" t="s">
        <v>394</v>
      </c>
      <c r="C129" s="39"/>
      <c r="D129" s="56">
        <v>2</v>
      </c>
      <c r="E129" s="57">
        <v>0.5</v>
      </c>
      <c r="F129" s="56">
        <v>24</v>
      </c>
      <c r="G129" s="56">
        <v>1.92</v>
      </c>
      <c r="H129" s="58">
        <f>+F129*G129*D129</f>
        <v>92.16</v>
      </c>
      <c r="I129" s="59">
        <f>+IF($D129&gt;0,IF(E129=I$7,D129*F129*G129,),)</f>
        <v>0</v>
      </c>
      <c r="J129" s="59">
        <f>+IF($D129&gt;0,IF(E129=J$7,D129*F129*G129,),)</f>
        <v>0</v>
      </c>
      <c r="K129" s="59">
        <f>+IF($D129&gt;0,IF(E129=K$7,D129*F129*G129,),)</f>
        <v>92.16</v>
      </c>
      <c r="L129" s="59">
        <f>+IF($D129&gt;0,IF(E129=L$7,D129*F129*G129,),)</f>
        <v>0</v>
      </c>
      <c r="M129" s="59">
        <f>+IF($D129&gt;0,IF(E129=M$7,D129*F129*G129,),)</f>
        <v>0</v>
      </c>
      <c r="N129" s="59">
        <f>+IF($D129&gt;0,IF(E129=N$7,D129*F129*G129,),)</f>
        <v>0</v>
      </c>
      <c r="O129" s="60">
        <f>+I129*I$8+J129*J$8+K129*K$8+L129*L$8+M129*M$8+N129*N$8</f>
        <v>91.238399999999999</v>
      </c>
    </row>
    <row r="130" spans="1:15" s="64" customFormat="1" ht="15.95" customHeight="1">
      <c r="A130" s="292"/>
      <c r="B130" s="171" t="s">
        <v>394</v>
      </c>
      <c r="C130" s="39"/>
      <c r="D130" s="56">
        <v>2</v>
      </c>
      <c r="E130" s="57">
        <v>0.5</v>
      </c>
      <c r="F130" s="56">
        <v>24</v>
      </c>
      <c r="G130" s="56">
        <v>2.75</v>
      </c>
      <c r="H130" s="58">
        <f>+F130*G130*D130</f>
        <v>132</v>
      </c>
      <c r="I130" s="59">
        <f>+IF($D130&gt;0,IF(E130=I$7,D130*F130*G130,),)</f>
        <v>0</v>
      </c>
      <c r="J130" s="59">
        <f>+IF($D130&gt;0,IF(E130=J$7,D130*F130*G130,),)</f>
        <v>0</v>
      </c>
      <c r="K130" s="59">
        <f>+IF($D130&gt;0,IF(E130=K$7,D130*F130*G130,),)</f>
        <v>132</v>
      </c>
      <c r="L130" s="59">
        <f>+IF($D130&gt;0,IF(E130=L$7,D130*F130*G130,),)</f>
        <v>0</v>
      </c>
      <c r="M130" s="59">
        <f>+IF($D130&gt;0,IF(E130=M$7,D130*F130*G130,),)</f>
        <v>0</v>
      </c>
      <c r="N130" s="59">
        <f>+IF($D130&gt;0,IF(E130=N$7,D130*F130*G130,),)</f>
        <v>0</v>
      </c>
      <c r="O130" s="60">
        <f>+I130*I$8+J130*J$8+K130*K$8+L130*L$8+M130*M$8+N130*N$8</f>
        <v>130.68</v>
      </c>
    </row>
    <row r="131" spans="1:15" s="64" customFormat="1" ht="15.95" customHeight="1">
      <c r="A131" s="292"/>
      <c r="B131" s="171" t="s">
        <v>395</v>
      </c>
      <c r="C131" s="39"/>
      <c r="D131" s="56">
        <v>1</v>
      </c>
      <c r="E131" s="57">
        <v>0.5</v>
      </c>
      <c r="F131" s="56">
        <v>46</v>
      </c>
      <c r="G131" s="56">
        <f>6.65-0.05+2*0.2</f>
        <v>7.0000000000000009</v>
      </c>
      <c r="H131" s="58">
        <f>+F131*G131*D131</f>
        <v>322.00000000000006</v>
      </c>
      <c r="I131" s="59">
        <f>+IF($D131&gt;0,IF(E131=I$7,D131*F131*G131,),)</f>
        <v>0</v>
      </c>
      <c r="J131" s="59">
        <f>+IF($D131&gt;0,IF(E131=J$7,D131*F131*G131,),)</f>
        <v>0</v>
      </c>
      <c r="K131" s="59">
        <f>+IF($D131&gt;0,IF(E131=K$7,D131*F131*G131,),)</f>
        <v>322.00000000000006</v>
      </c>
      <c r="L131" s="59">
        <f>+IF($D131&gt;0,IF(E131=L$7,D131*F131*G131,),)</f>
        <v>0</v>
      </c>
      <c r="M131" s="59">
        <f>+IF($D131&gt;0,IF(E131=M$7,D131*F131*G131,),)</f>
        <v>0</v>
      </c>
      <c r="N131" s="59">
        <f>+IF($D131&gt;0,IF(E131=N$7,D131*F131*G131,),)</f>
        <v>0</v>
      </c>
      <c r="O131" s="60">
        <f>+I131*I$8+J131*J$8+K131*K$8+L131*L$8+M131*M$8+N131*N$8</f>
        <v>318.78000000000003</v>
      </c>
    </row>
    <row r="132" spans="1:15" s="64" customFormat="1" ht="15.95" customHeight="1">
      <c r="A132" s="292"/>
      <c r="B132" s="171" t="s">
        <v>395</v>
      </c>
      <c r="C132" s="39"/>
      <c r="D132" s="56">
        <v>2</v>
      </c>
      <c r="E132" s="57">
        <v>0.5</v>
      </c>
      <c r="F132" s="56">
        <v>46</v>
      </c>
      <c r="G132" s="56">
        <v>2.67</v>
      </c>
      <c r="H132" s="58">
        <f>+F132*G132*D132</f>
        <v>245.64</v>
      </c>
      <c r="I132" s="59">
        <f>+IF($D132&gt;0,IF(E132=I$7,D132*F132*G132,),)</f>
        <v>0</v>
      </c>
      <c r="J132" s="59">
        <f>+IF($D132&gt;0,IF(E132=J$7,D132*F132*G132,),)</f>
        <v>0</v>
      </c>
      <c r="K132" s="59">
        <f>+IF($D132&gt;0,IF(E132=K$7,D132*F132*G132,),)</f>
        <v>245.64</v>
      </c>
      <c r="L132" s="59">
        <f>+IF($D132&gt;0,IF(E132=L$7,D132*F132*G132,),)</f>
        <v>0</v>
      </c>
      <c r="M132" s="59">
        <f>+IF($D132&gt;0,IF(E132=M$7,D132*F132*G132,),)</f>
        <v>0</v>
      </c>
      <c r="N132" s="59">
        <f>+IF($D132&gt;0,IF(E132=N$7,D132*F132*G132,),)</f>
        <v>0</v>
      </c>
      <c r="O132" s="60">
        <f>+I132*I$8+J132*J$8+K132*K$8+L132*L$8+M132*M$8+N132*N$8</f>
        <v>243.18359999999998</v>
      </c>
    </row>
    <row r="133" spans="1:15" s="64" customFormat="1" ht="15.95" customHeight="1">
      <c r="A133" s="292"/>
      <c r="B133" s="171" t="s">
        <v>396</v>
      </c>
      <c r="C133" s="41"/>
      <c r="D133" s="56"/>
      <c r="E133" s="57"/>
      <c r="F133" s="56"/>
      <c r="G133" s="56"/>
      <c r="H133" s="58"/>
      <c r="I133" s="59"/>
      <c r="J133" s="59"/>
      <c r="K133" s="59"/>
      <c r="L133" s="59"/>
      <c r="M133" s="59"/>
      <c r="N133" s="59"/>
      <c r="O133" s="60"/>
    </row>
    <row r="134" spans="1:15" s="64" customFormat="1" ht="15.95" customHeight="1">
      <c r="A134" s="292"/>
      <c r="B134" s="171" t="s">
        <v>394</v>
      </c>
      <c r="C134" s="39"/>
      <c r="D134" s="56">
        <v>2</v>
      </c>
      <c r="E134" s="57">
        <v>0.375</v>
      </c>
      <c r="F134" s="56">
        <v>9</v>
      </c>
      <c r="G134" s="56">
        <f>8.25-0.05+2*0.2</f>
        <v>8.6</v>
      </c>
      <c r="H134" s="58">
        <f>+F134*G134*D134</f>
        <v>154.79999999999998</v>
      </c>
      <c r="I134" s="59">
        <f>+IF($D134&gt;0,IF(E134=I$7,D134*F134*G134,),)</f>
        <v>0</v>
      </c>
      <c r="J134" s="59">
        <f>+IF($D134&gt;0,IF(E134=J$7,D134*F134*G134,),)</f>
        <v>154.79999999999998</v>
      </c>
      <c r="K134" s="59">
        <f>+IF($D134&gt;0,IF(E134=K$7,D134*F134*G134,),)</f>
        <v>0</v>
      </c>
      <c r="L134" s="59">
        <f>+IF($D134&gt;0,IF(E134=L$7,D134*F134*G134,),)</f>
        <v>0</v>
      </c>
      <c r="M134" s="59">
        <f>+IF($D134&gt;0,IF(E134=M$7,D134*F134*G134,),)</f>
        <v>0</v>
      </c>
      <c r="N134" s="59">
        <f>+IF($D134&gt;0,IF(E134=N$7,D134*F134*G134,),)</f>
        <v>0</v>
      </c>
      <c r="O134" s="60">
        <f>+I134*I$8+J134*J$8+K134*K$8+L134*L$8+M134*M$8+N134*N$8</f>
        <v>86.688000000000002</v>
      </c>
    </row>
    <row r="135" spans="1:15" s="64" customFormat="1" ht="15.95" customHeight="1">
      <c r="A135" s="292"/>
      <c r="B135" s="171" t="s">
        <v>395</v>
      </c>
      <c r="C135" s="39"/>
      <c r="D135" s="56">
        <v>2</v>
      </c>
      <c r="E135" s="57">
        <v>0.375</v>
      </c>
      <c r="F135" s="56">
        <v>30</v>
      </c>
      <c r="G135" s="56">
        <f>2.85-0.05+2*0.2</f>
        <v>3.2</v>
      </c>
      <c r="H135" s="58">
        <f>+F135*G135*D135</f>
        <v>192</v>
      </c>
      <c r="I135" s="59">
        <f>+IF($D135&gt;0,IF(E135=I$7,D135*F135*G135,),)</f>
        <v>0</v>
      </c>
      <c r="J135" s="59">
        <f>+IF($D135&gt;0,IF(E135=J$7,D135*F135*G135,),)</f>
        <v>192</v>
      </c>
      <c r="K135" s="59">
        <f>+IF($D135&gt;0,IF(E135=K$7,D135*F135*G135,),)</f>
        <v>0</v>
      </c>
      <c r="L135" s="59">
        <f>+IF($D135&gt;0,IF(E135=L$7,D135*F135*G135,),)</f>
        <v>0</v>
      </c>
      <c r="M135" s="59">
        <f>+IF($D135&gt;0,IF(E135=M$7,D135*F135*G135,),)</f>
        <v>0</v>
      </c>
      <c r="N135" s="59">
        <f>+IF($D135&gt;0,IF(E135=N$7,D135*F135*G135,),)</f>
        <v>0</v>
      </c>
      <c r="O135" s="60">
        <f>+I135*I$8+J135*J$8+K135*K$8+L135*L$8+M135*M$8+N135*N$8</f>
        <v>107.52000000000001</v>
      </c>
    </row>
    <row r="136" spans="1:15" s="64" customFormat="1" ht="15.95" customHeight="1">
      <c r="A136" s="292">
        <f>+'2.caseta de valvulas'!A124</f>
        <v>1.1602051799999984</v>
      </c>
      <c r="B136" s="75" t="str">
        <f>+'2.caseta de valvulas'!B124</f>
        <v>Acero estruc. trabajado p/escalera (costo prom. incl. Desperdicios)</v>
      </c>
      <c r="C136" s="41"/>
      <c r="D136" s="56"/>
      <c r="E136" s="57"/>
      <c r="F136" s="56"/>
      <c r="G136" s="56"/>
      <c r="H136" s="58"/>
      <c r="I136" s="59"/>
      <c r="J136" s="59"/>
      <c r="K136" s="59"/>
      <c r="L136" s="59"/>
      <c r="M136" s="59"/>
      <c r="N136" s="59"/>
      <c r="O136" s="76">
        <f>SUM(O137:O138)</f>
        <v>24.2712</v>
      </c>
    </row>
    <row r="137" spans="1:15" ht="15.95" customHeight="1">
      <c r="A137" s="292"/>
      <c r="B137" s="172" t="s">
        <v>397</v>
      </c>
      <c r="C137" s="44"/>
      <c r="D137" s="56">
        <v>1</v>
      </c>
      <c r="E137" s="57">
        <v>0.5</v>
      </c>
      <c r="F137" s="56">
        <v>8</v>
      </c>
      <c r="G137" s="56">
        <v>2.11</v>
      </c>
      <c r="H137" s="56">
        <f>+PRODUCT(D137,F137:G137)</f>
        <v>16.88</v>
      </c>
      <c r="I137" s="59">
        <f>+IF($D137&gt;0,IF(E137=I$7,D137*F137*G137,),)</f>
        <v>0</v>
      </c>
      <c r="J137" s="59">
        <f>+IF($D137&gt;0,IF(E137=J$7,D137*F137*G137,),)</f>
        <v>0</v>
      </c>
      <c r="K137" s="59">
        <f>+IF($D137&gt;0,IF(E137=K$7,D137*F137*G137,),)</f>
        <v>16.88</v>
      </c>
      <c r="L137" s="59">
        <f>+IF($D137&gt;0,IF(E137=L$7,D137*F137*G137,),)</f>
        <v>0</v>
      </c>
      <c r="M137" s="59">
        <f>+IF($D137&gt;0,IF(E137=M$7,D137*F137*G137,),)</f>
        <v>0</v>
      </c>
      <c r="N137" s="59">
        <f>+IF($D137&gt;0,IF(E137=N$7,D137*F137*G137,),)</f>
        <v>0</v>
      </c>
      <c r="O137" s="173">
        <f>+I137*I$8+J137*J$8+K137*K$8+L137*L$8+M137*M$8+N137*N$8</f>
        <v>16.711199999999998</v>
      </c>
    </row>
    <row r="138" spans="1:15" s="64" customFormat="1" ht="15.95" customHeight="1">
      <c r="A138" s="297"/>
      <c r="B138" s="307" t="s">
        <v>398</v>
      </c>
      <c r="C138" s="299"/>
      <c r="D138" s="300">
        <v>1</v>
      </c>
      <c r="E138" s="301">
        <v>0.375</v>
      </c>
      <c r="F138" s="300">
        <v>9</v>
      </c>
      <c r="G138" s="300">
        <v>1.5</v>
      </c>
      <c r="H138" s="302">
        <f>+F138*G138*D138</f>
        <v>13.5</v>
      </c>
      <c r="I138" s="303">
        <f>+IF($D138&gt;0,IF(E138=I$7,D138*F138*G138,),)</f>
        <v>0</v>
      </c>
      <c r="J138" s="303">
        <f>+IF($D138&gt;0,IF(E138=J$7,D138*F138*G138,),)</f>
        <v>13.5</v>
      </c>
      <c r="K138" s="303">
        <f>+IF($D138&gt;0,IF(E138=K$7,D138*F138*G138,),)</f>
        <v>0</v>
      </c>
      <c r="L138" s="303">
        <f>+IF($D138&gt;0,IF(E138=L$7,D138*F138*G138,),)</f>
        <v>0</v>
      </c>
      <c r="M138" s="303">
        <f>+IF($D138&gt;0,IF(E138=M$7,D138*F138*G138,),)</f>
        <v>0</v>
      </c>
      <c r="N138" s="303">
        <f>+IF($D138&gt;0,IF(E138=N$7,D138*F138*G138,),)</f>
        <v>0</v>
      </c>
      <c r="O138" s="304">
        <f>+I138*I$8+J138*J$8+K138*K$8+L138*L$8+M138*M$8+N138*N$8</f>
        <v>7.5600000000000005</v>
      </c>
    </row>
    <row r="139" spans="1:15" s="61" customFormat="1" ht="15.95" customHeight="1">
      <c r="A139" s="347" t="s">
        <v>372</v>
      </c>
      <c r="B139" s="348"/>
      <c r="C139" s="348"/>
      <c r="D139" s="348"/>
      <c r="E139" s="348"/>
      <c r="F139" s="348"/>
      <c r="G139" s="348"/>
      <c r="H139" s="349"/>
      <c r="I139" s="77">
        <f t="shared" ref="I139:N139" si="57">+SUM(I45:I138)</f>
        <v>286.39999999999998</v>
      </c>
      <c r="J139" s="77">
        <f t="shared" si="57"/>
        <v>1257.9000000000001</v>
      </c>
      <c r="K139" s="77">
        <f t="shared" si="57"/>
        <v>6564.1100000000006</v>
      </c>
      <c r="L139" s="77">
        <f t="shared" si="57"/>
        <v>864.82</v>
      </c>
      <c r="M139" s="77">
        <f t="shared" si="57"/>
        <v>0</v>
      </c>
      <c r="N139" s="77">
        <f t="shared" si="57"/>
        <v>0</v>
      </c>
      <c r="O139" s="293"/>
    </row>
    <row r="140" spans="1:15" s="61" customFormat="1" ht="15.95" customHeight="1">
      <c r="A140" s="347" t="s">
        <v>373</v>
      </c>
      <c r="B140" s="348"/>
      <c r="C140" s="348"/>
      <c r="D140" s="348"/>
      <c r="E140" s="348"/>
      <c r="F140" s="348"/>
      <c r="G140" s="348"/>
      <c r="H140" s="349"/>
      <c r="I140" s="77">
        <f t="shared" ref="I140:N140" si="58">+I8</f>
        <v>0.25</v>
      </c>
      <c r="J140" s="77">
        <f t="shared" si="58"/>
        <v>0.56000000000000005</v>
      </c>
      <c r="K140" s="77">
        <f t="shared" si="58"/>
        <v>0.99</v>
      </c>
      <c r="L140" s="77">
        <f t="shared" si="58"/>
        <v>1.55</v>
      </c>
      <c r="M140" s="77">
        <f t="shared" si="58"/>
        <v>2.2400000000000002</v>
      </c>
      <c r="N140" s="77">
        <f t="shared" si="58"/>
        <v>3.98</v>
      </c>
      <c r="O140" s="293"/>
    </row>
    <row r="141" spans="1:15" s="61" customFormat="1" ht="15.95" customHeight="1">
      <c r="A141" s="347" t="s">
        <v>374</v>
      </c>
      <c r="B141" s="348"/>
      <c r="C141" s="348"/>
      <c r="D141" s="348"/>
      <c r="E141" s="348"/>
      <c r="F141" s="348"/>
      <c r="G141" s="348"/>
      <c r="H141" s="349"/>
      <c r="I141" s="77">
        <f t="shared" ref="I141:N141" si="59">+I139*I140</f>
        <v>71.599999999999994</v>
      </c>
      <c r="J141" s="77">
        <f t="shared" si="59"/>
        <v>704.42400000000009</v>
      </c>
      <c r="K141" s="77">
        <f t="shared" si="59"/>
        <v>6498.4689000000008</v>
      </c>
      <c r="L141" s="77">
        <f t="shared" si="59"/>
        <v>1340.471</v>
      </c>
      <c r="M141" s="77">
        <f t="shared" si="59"/>
        <v>0</v>
      </c>
      <c r="N141" s="77">
        <f t="shared" si="59"/>
        <v>0</v>
      </c>
      <c r="O141" s="293">
        <f>+SUM(I141:N141)</f>
        <v>8614.9639000000006</v>
      </c>
    </row>
    <row r="142" spans="1:15" s="64" customFormat="1" ht="15.95" customHeight="1">
      <c r="A142" s="291">
        <f>+'3.cisterna'!A8</f>
        <v>1.1602999999999999</v>
      </c>
      <c r="B142" s="294" t="str">
        <f>+'3.cisterna'!B8</f>
        <v>CISTERNA</v>
      </c>
      <c r="C142" s="40"/>
      <c r="D142" s="51"/>
      <c r="E142" s="52"/>
      <c r="F142" s="51"/>
      <c r="G142" s="51"/>
      <c r="H142" s="295"/>
      <c r="I142" s="296"/>
      <c r="J142" s="296"/>
      <c r="K142" s="296"/>
      <c r="L142" s="296"/>
      <c r="M142" s="296"/>
      <c r="N142" s="296"/>
      <c r="O142" s="54"/>
    </row>
    <row r="143" spans="1:15" s="64" customFormat="1" ht="15.95" customHeight="1">
      <c r="A143" s="292">
        <f>+'3.cisterna'!A24</f>
        <v>1.1603039999999996</v>
      </c>
      <c r="B143" s="75" t="str">
        <f>+'3.cisterna'!B24</f>
        <v>OBRAS DE CONCRETO ARMADO</v>
      </c>
      <c r="C143" s="41"/>
      <c r="D143" s="56"/>
      <c r="E143" s="57"/>
      <c r="F143" s="56"/>
      <c r="G143" s="56"/>
      <c r="H143" s="58"/>
      <c r="I143" s="59"/>
      <c r="J143" s="59"/>
      <c r="K143" s="59"/>
      <c r="L143" s="59"/>
      <c r="M143" s="59"/>
      <c r="N143" s="59"/>
      <c r="O143" s="60"/>
    </row>
    <row r="144" spans="1:15" s="64" customFormat="1" ht="15.95" customHeight="1">
      <c r="A144" s="292">
        <f>+'3.cisterna'!A29</f>
        <v>1.1603040299999994</v>
      </c>
      <c r="B144" s="169" t="str">
        <f>+'3.cisterna'!B29</f>
        <v>acero estruct. trabajado p/losa de fondo</v>
      </c>
      <c r="C144" s="41"/>
      <c r="D144" s="56"/>
      <c r="E144" s="57"/>
      <c r="F144" s="56"/>
      <c r="G144" s="56"/>
      <c r="H144" s="58"/>
      <c r="I144" s="59"/>
      <c r="J144" s="59"/>
      <c r="K144" s="59"/>
      <c r="L144" s="59"/>
      <c r="M144" s="59"/>
      <c r="N144" s="59"/>
      <c r="O144" s="76">
        <f>SUM(O145:O146)</f>
        <v>47.712000000000003</v>
      </c>
    </row>
    <row r="145" spans="1:15" ht="15.95" customHeight="1">
      <c r="A145" s="292"/>
      <c r="B145" s="172" t="s">
        <v>399</v>
      </c>
      <c r="C145" s="39"/>
      <c r="D145" s="56">
        <v>2</v>
      </c>
      <c r="E145" s="57">
        <v>0.375</v>
      </c>
      <c r="F145" s="56">
        <v>9</v>
      </c>
      <c r="G145" s="56">
        <f>2.1-0.05+2*0.15</f>
        <v>2.35</v>
      </c>
      <c r="H145" s="56">
        <f>+PRODUCT(D145,F145:G145)</f>
        <v>42.300000000000004</v>
      </c>
      <c r="I145" s="59">
        <f>+IF($D145&gt;0,IF(E145=I$7,D145*F145*G145,),)</f>
        <v>0</v>
      </c>
      <c r="J145" s="59">
        <f>+IF($D145&gt;0,IF(E145=J$7,D145*F145*G145,),)</f>
        <v>42.300000000000004</v>
      </c>
      <c r="K145" s="59">
        <f>+IF($D145&gt;0,IF(E145=K$7,D145*F145*G145,),)</f>
        <v>0</v>
      </c>
      <c r="L145" s="59">
        <f>+IF($D145&gt;0,IF(E145=L$7,D145*F145*G145,),)</f>
        <v>0</v>
      </c>
      <c r="M145" s="59">
        <f>+IF($D145&gt;0,IF(E145=M$7,D145*F145*G145,),)</f>
        <v>0</v>
      </c>
      <c r="N145" s="59">
        <f>+IF($D145&gt;0,IF(E145=N$7,D145*F145*G145,),)</f>
        <v>0</v>
      </c>
      <c r="O145" s="173">
        <f>+I145*I$8+J145*J$8+K145*K$8+L145*L$8+M145*M$8+N145*N$8</f>
        <v>23.688000000000006</v>
      </c>
    </row>
    <row r="146" spans="1:15" ht="15.95" customHeight="1">
      <c r="A146" s="292"/>
      <c r="B146" s="172" t="s">
        <v>399</v>
      </c>
      <c r="C146" s="39"/>
      <c r="D146" s="56">
        <v>2</v>
      </c>
      <c r="E146" s="57">
        <v>0.375</v>
      </c>
      <c r="F146" s="56">
        <v>11</v>
      </c>
      <c r="G146" s="56">
        <f>1.5-0.05+0.5</f>
        <v>1.95</v>
      </c>
      <c r="H146" s="56">
        <f>+PRODUCT(D146,F146:G146)</f>
        <v>42.9</v>
      </c>
      <c r="I146" s="59">
        <f>+IF($D146&gt;0,IF(E146=I$7,D146*F146*G146,),)</f>
        <v>0</v>
      </c>
      <c r="J146" s="59">
        <f>+IF($D146&gt;0,IF(E146=J$7,D146*F146*G146,),)</f>
        <v>42.9</v>
      </c>
      <c r="K146" s="59">
        <f>+IF($D146&gt;0,IF(E146=K$7,D146*F146*G146,),)</f>
        <v>0</v>
      </c>
      <c r="L146" s="59">
        <f>+IF($D146&gt;0,IF(E146=L$7,D146*F146*G146,),)</f>
        <v>0</v>
      </c>
      <c r="M146" s="59">
        <f>+IF($D146&gt;0,IF(E146=M$7,D146*F146*G146,),)</f>
        <v>0</v>
      </c>
      <c r="N146" s="59">
        <f>+IF($D146&gt;0,IF(E146=N$7,D146*F146*G146,),)</f>
        <v>0</v>
      </c>
      <c r="O146" s="173">
        <f>+I146*I$8+J146*J$8+K146*K$8+L146*L$8+M146*M$8+N146*N$8</f>
        <v>24.024000000000001</v>
      </c>
    </row>
    <row r="147" spans="1:15" s="64" customFormat="1" ht="15.95" customHeight="1">
      <c r="A147" s="292">
        <f>+'3.cisterna'!A37</f>
        <v>1.1603040599999992</v>
      </c>
      <c r="B147" s="170" t="str">
        <f>+'3.cisterna'!B37</f>
        <v>acero estruct. trabajado p/muros reforzados</v>
      </c>
      <c r="C147" s="41"/>
      <c r="D147" s="56"/>
      <c r="E147" s="57"/>
      <c r="F147" s="56"/>
      <c r="G147" s="56"/>
      <c r="H147" s="58"/>
      <c r="I147" s="59"/>
      <c r="J147" s="59"/>
      <c r="K147" s="59"/>
      <c r="L147" s="59"/>
      <c r="M147" s="59"/>
      <c r="N147" s="59"/>
      <c r="O147" s="76">
        <f>SUM(O148:O151)</f>
        <v>161.28000000000003</v>
      </c>
    </row>
    <row r="148" spans="1:15" ht="15.95" customHeight="1">
      <c r="A148" s="292"/>
      <c r="B148" s="172" t="s">
        <v>362</v>
      </c>
      <c r="C148" s="39"/>
      <c r="D148" s="56">
        <v>4</v>
      </c>
      <c r="E148" s="57">
        <v>0.375</v>
      </c>
      <c r="F148" s="56">
        <v>9</v>
      </c>
      <c r="G148" s="56">
        <f>2.2-0.05+2*0.15</f>
        <v>2.4500000000000002</v>
      </c>
      <c r="H148" s="56">
        <f>+PRODUCT(D148,F148:G148)</f>
        <v>88.2</v>
      </c>
      <c r="I148" s="59">
        <f>+IF($D148&gt;0,IF(E148=I$7,D148*F148*G148,),)</f>
        <v>0</v>
      </c>
      <c r="J148" s="59">
        <f>+IF($D148&gt;0,IF(E148=J$7,D148*F148*G148,),)</f>
        <v>88.2</v>
      </c>
      <c r="K148" s="59">
        <f>+IF($D148&gt;0,IF(E148=K$7,D148*F148*G148,),)</f>
        <v>0</v>
      </c>
      <c r="L148" s="59">
        <f>+IF($D148&gt;0,IF(E148=L$7,D148*F148*G148,),)</f>
        <v>0</v>
      </c>
      <c r="M148" s="59">
        <f>+IF($D148&gt;0,IF(E148=M$7,D148*F148*G148,),)</f>
        <v>0</v>
      </c>
      <c r="N148" s="59">
        <f>+IF($D148&gt;0,IF(E148=N$7,D148*F148*G148,),)</f>
        <v>0</v>
      </c>
      <c r="O148" s="173">
        <f>+I148*I$8+J148*J$8+K148*K$8+L148*L$8+M148*M$8+N148*N$8</f>
        <v>49.392000000000003</v>
      </c>
    </row>
    <row r="149" spans="1:15" ht="15.95" customHeight="1">
      <c r="A149" s="292"/>
      <c r="B149" s="172" t="s">
        <v>362</v>
      </c>
      <c r="C149" s="39"/>
      <c r="D149" s="56">
        <v>4</v>
      </c>
      <c r="E149" s="57">
        <v>0.375</v>
      </c>
      <c r="F149" s="56">
        <v>7</v>
      </c>
      <c r="G149" s="56">
        <f>2.2-0.05+2*0.15</f>
        <v>2.4500000000000002</v>
      </c>
      <c r="H149" s="56">
        <f>+PRODUCT(D149,F149:G149)</f>
        <v>68.600000000000009</v>
      </c>
      <c r="I149" s="59">
        <f>+IF($D149&gt;0,IF(E149=I$7,D149*F149*G149,),)</f>
        <v>0</v>
      </c>
      <c r="J149" s="59">
        <f>+IF($D149&gt;0,IF(E149=J$7,D149*F149*G149,),)</f>
        <v>68.600000000000009</v>
      </c>
      <c r="K149" s="59">
        <f>+IF($D149&gt;0,IF(E149=K$7,D149*F149*G149,),)</f>
        <v>0</v>
      </c>
      <c r="L149" s="59">
        <f>+IF($D149&gt;0,IF(E149=L$7,D149*F149*G149,),)</f>
        <v>0</v>
      </c>
      <c r="M149" s="59">
        <f>+IF($D149&gt;0,IF(E149=M$7,D149*F149*G149,),)</f>
        <v>0</v>
      </c>
      <c r="N149" s="59">
        <f>+IF($D149&gt;0,IF(E149=N$7,D149*F149*G149,),)</f>
        <v>0</v>
      </c>
      <c r="O149" s="173">
        <f>+I149*I$8+J149*J$8+K149*K$8+L149*L$8+M149*M$8+N149*N$8</f>
        <v>38.416000000000011</v>
      </c>
    </row>
    <row r="150" spans="1:15" s="64" customFormat="1" ht="15.95" customHeight="1">
      <c r="A150" s="292"/>
      <c r="B150" s="172" t="s">
        <v>385</v>
      </c>
      <c r="C150" s="39"/>
      <c r="D150" s="56">
        <v>4</v>
      </c>
      <c r="E150" s="57">
        <v>0.375</v>
      </c>
      <c r="F150" s="56">
        <v>8</v>
      </c>
      <c r="G150" s="56">
        <f>2.1-0.05+2*0.15</f>
        <v>2.35</v>
      </c>
      <c r="H150" s="58">
        <f>+F150*G150*D150</f>
        <v>75.2</v>
      </c>
      <c r="I150" s="59">
        <f>+IF($D150&gt;0,IF(E150=I$7,D150*F150*G150,),)</f>
        <v>0</v>
      </c>
      <c r="J150" s="59">
        <f>+IF($D150&gt;0,IF(E150=J$7,D150*F150*G150,),)</f>
        <v>75.2</v>
      </c>
      <c r="K150" s="59">
        <f>+IF($D150&gt;0,IF(E150=K$7,D150*F150*G150,),)</f>
        <v>0</v>
      </c>
      <c r="L150" s="59">
        <f>+IF($D150&gt;0,IF(E150=L$7,D150*F150*G150,),)</f>
        <v>0</v>
      </c>
      <c r="M150" s="59">
        <f>+IF($D150&gt;0,IF(E150=M$7,D150*F150*G150,),)</f>
        <v>0</v>
      </c>
      <c r="N150" s="59">
        <f>+IF($D150&gt;0,IF(E150=N$7,D150*F150*G150,),)</f>
        <v>0</v>
      </c>
      <c r="O150" s="60">
        <f>+I150*I$8+J150*J$8+K150*K$8+L150*L$8+M150*M$8+N150*N$8</f>
        <v>42.112000000000009</v>
      </c>
    </row>
    <row r="151" spans="1:15" s="64" customFormat="1" ht="15.95" customHeight="1">
      <c r="A151" s="292"/>
      <c r="B151" s="172" t="s">
        <v>385</v>
      </c>
      <c r="C151" s="39"/>
      <c r="D151" s="56">
        <v>4</v>
      </c>
      <c r="E151" s="57">
        <v>0.375</v>
      </c>
      <c r="F151" s="56">
        <v>8</v>
      </c>
      <c r="G151" s="56">
        <f>1.5-0.05+2*0.15</f>
        <v>1.75</v>
      </c>
      <c r="H151" s="58">
        <f>+F151*G151*D151</f>
        <v>56</v>
      </c>
      <c r="I151" s="59">
        <f>+IF($D151&gt;0,IF(E151=I$7,D151*F151*G151,),)</f>
        <v>0</v>
      </c>
      <c r="J151" s="59">
        <f>+IF($D151&gt;0,IF(E151=J$7,D151*F151*G151,),)</f>
        <v>56</v>
      </c>
      <c r="K151" s="59">
        <f>+IF($D151&gt;0,IF(E151=K$7,D151*F151*G151,),)</f>
        <v>0</v>
      </c>
      <c r="L151" s="59">
        <f>+IF($D151&gt;0,IF(E151=L$7,D151*F151*G151,),)</f>
        <v>0</v>
      </c>
      <c r="M151" s="59">
        <f>+IF($D151&gt;0,IF(E151=M$7,D151*F151*G151,),)</f>
        <v>0</v>
      </c>
      <c r="N151" s="59">
        <f>+IF($D151&gt;0,IF(E151=N$7,D151*F151*G151,),)</f>
        <v>0</v>
      </c>
      <c r="O151" s="60">
        <f>+I151*I$8+J151*J$8+K151*K$8+L151*L$8+M151*M$8+N151*N$8</f>
        <v>31.360000000000003</v>
      </c>
    </row>
    <row r="152" spans="1:15" s="64" customFormat="1" ht="15.95" customHeight="1">
      <c r="A152" s="292">
        <f>+'3.cisterna'!A46</f>
        <v>1.160304089999999</v>
      </c>
      <c r="B152" s="169" t="str">
        <f>+'3.cisterna'!B46</f>
        <v>acero estruct. trabajado p/losa</v>
      </c>
      <c r="C152" s="41"/>
      <c r="D152" s="56"/>
      <c r="E152" s="57"/>
      <c r="F152" s="56"/>
      <c r="G152" s="56"/>
      <c r="H152" s="58"/>
      <c r="I152" s="59"/>
      <c r="J152" s="59"/>
      <c r="K152" s="59"/>
      <c r="L152" s="59"/>
      <c r="M152" s="59"/>
      <c r="N152" s="59"/>
      <c r="O152" s="76">
        <f>SUM(O153:O154)</f>
        <v>52.528000000000006</v>
      </c>
    </row>
    <row r="153" spans="1:15" s="64" customFormat="1" ht="15.95" customHeight="1">
      <c r="A153" s="292"/>
      <c r="B153" s="172" t="s">
        <v>362</v>
      </c>
      <c r="C153" s="39"/>
      <c r="D153" s="56">
        <v>2</v>
      </c>
      <c r="E153" s="57">
        <v>0.375</v>
      </c>
      <c r="F153" s="56">
        <v>10</v>
      </c>
      <c r="G153" s="56">
        <f>2.1-0.05+2*0.15</f>
        <v>2.35</v>
      </c>
      <c r="H153" s="56">
        <f>+PRODUCT(D153,F153:G153)</f>
        <v>47</v>
      </c>
      <c r="I153" s="59">
        <f>+IF($D153&gt;0,IF(E153=I$7,D153*F153*G153,),)</f>
        <v>0</v>
      </c>
      <c r="J153" s="59">
        <f>+IF($D153&gt;0,IF(E153=J$7,D153*F153*G153,),)</f>
        <v>47</v>
      </c>
      <c r="K153" s="59">
        <f>+IF($D153&gt;0,IF(E153=K$7,D153*F153*G153,),)</f>
        <v>0</v>
      </c>
      <c r="L153" s="59">
        <f>+IF($D153&gt;0,IF(E153=L$7,D153*F153*G153,),)</f>
        <v>0</v>
      </c>
      <c r="M153" s="59">
        <f>+IF($D153&gt;0,IF(E153=M$7,D153*F153*G153,),)</f>
        <v>0</v>
      </c>
      <c r="N153" s="59">
        <f>+IF($D153&gt;0,IF(E153=N$7,D153*F153*G153,),)</f>
        <v>0</v>
      </c>
      <c r="O153" s="173">
        <f>+I153*I$8+J153*J$8+K153*K$8+L153*L$8+M153*M$8+N153*N$8</f>
        <v>26.320000000000004</v>
      </c>
    </row>
    <row r="154" spans="1:15" s="64" customFormat="1" ht="15.95" customHeight="1">
      <c r="A154" s="297"/>
      <c r="B154" s="298" t="s">
        <v>362</v>
      </c>
      <c r="C154" s="299"/>
      <c r="D154" s="300">
        <v>2</v>
      </c>
      <c r="E154" s="301">
        <v>0.375</v>
      </c>
      <c r="F154" s="300">
        <v>12</v>
      </c>
      <c r="G154" s="300">
        <f>1.5-0.05+0.5</f>
        <v>1.95</v>
      </c>
      <c r="H154" s="300">
        <f>+PRODUCT(D154,F154:G154)</f>
        <v>46.8</v>
      </c>
      <c r="I154" s="303">
        <f>+IF($D154&gt;0,IF(E154=I$7,D154*F154*G154,),)</f>
        <v>0</v>
      </c>
      <c r="J154" s="303">
        <f>+IF($D154&gt;0,IF(E154=J$7,D154*F154*G154,),)</f>
        <v>46.8</v>
      </c>
      <c r="K154" s="303">
        <f>+IF($D154&gt;0,IF(E154=K$7,D154*F154*G154,),)</f>
        <v>0</v>
      </c>
      <c r="L154" s="303">
        <f>+IF($D154&gt;0,IF(E154=L$7,D154*F154*G154,),)</f>
        <v>0</v>
      </c>
      <c r="M154" s="303">
        <f>+IF($D154&gt;0,IF(E154=M$7,D154*F154*G154,),)</f>
        <v>0</v>
      </c>
      <c r="N154" s="303">
        <f>+IF($D154&gt;0,IF(E154=N$7,D154*F154*G154,),)</f>
        <v>0</v>
      </c>
      <c r="O154" s="305">
        <f>+I154*I$8+J154*J$8+K154*K$8+L154*L$8+M154*M$8+N154*N$8</f>
        <v>26.208000000000002</v>
      </c>
    </row>
    <row r="155" spans="1:15" s="61" customFormat="1" ht="15.95" customHeight="1">
      <c r="A155" s="347" t="s">
        <v>372</v>
      </c>
      <c r="B155" s="348"/>
      <c r="C155" s="348"/>
      <c r="D155" s="348"/>
      <c r="E155" s="348"/>
      <c r="F155" s="348"/>
      <c r="G155" s="348"/>
      <c r="H155" s="349"/>
      <c r="I155" s="77">
        <f t="shared" ref="I155:N155" si="60">+SUM(I142:I154)</f>
        <v>0</v>
      </c>
      <c r="J155" s="77">
        <f t="shared" si="60"/>
        <v>467</v>
      </c>
      <c r="K155" s="77">
        <f t="shared" si="60"/>
        <v>0</v>
      </c>
      <c r="L155" s="77">
        <f t="shared" si="60"/>
        <v>0</v>
      </c>
      <c r="M155" s="77">
        <f t="shared" si="60"/>
        <v>0</v>
      </c>
      <c r="N155" s="77">
        <f t="shared" si="60"/>
        <v>0</v>
      </c>
      <c r="O155" s="293"/>
    </row>
    <row r="156" spans="1:15" s="61" customFormat="1" ht="15.95" customHeight="1">
      <c r="A156" s="347" t="s">
        <v>373</v>
      </c>
      <c r="B156" s="348"/>
      <c r="C156" s="348"/>
      <c r="D156" s="348"/>
      <c r="E156" s="348"/>
      <c r="F156" s="348"/>
      <c r="G156" s="348"/>
      <c r="H156" s="349"/>
      <c r="I156" s="77">
        <f t="shared" ref="I156:N156" si="61">+I8</f>
        <v>0.25</v>
      </c>
      <c r="J156" s="77">
        <f t="shared" si="61"/>
        <v>0.56000000000000005</v>
      </c>
      <c r="K156" s="77">
        <f t="shared" si="61"/>
        <v>0.99</v>
      </c>
      <c r="L156" s="77">
        <f t="shared" si="61"/>
        <v>1.55</v>
      </c>
      <c r="M156" s="77">
        <f t="shared" si="61"/>
        <v>2.2400000000000002</v>
      </c>
      <c r="N156" s="77">
        <f t="shared" si="61"/>
        <v>3.98</v>
      </c>
      <c r="O156" s="293"/>
    </row>
    <row r="157" spans="1:15" s="61" customFormat="1" ht="15.95" customHeight="1">
      <c r="A157" s="347" t="s">
        <v>374</v>
      </c>
      <c r="B157" s="348"/>
      <c r="C157" s="348"/>
      <c r="D157" s="348"/>
      <c r="E157" s="348"/>
      <c r="F157" s="348"/>
      <c r="G157" s="348"/>
      <c r="H157" s="349"/>
      <c r="I157" s="77">
        <f t="shared" ref="I157:N157" si="62">+I155*I156</f>
        <v>0</v>
      </c>
      <c r="J157" s="77">
        <f t="shared" si="62"/>
        <v>261.52000000000004</v>
      </c>
      <c r="K157" s="77">
        <f t="shared" si="62"/>
        <v>0</v>
      </c>
      <c r="L157" s="77">
        <f t="shared" si="62"/>
        <v>0</v>
      </c>
      <c r="M157" s="77">
        <f t="shared" si="62"/>
        <v>0</v>
      </c>
      <c r="N157" s="77">
        <f t="shared" si="62"/>
        <v>0</v>
      </c>
      <c r="O157" s="293">
        <f>+SUM(I157:N157)</f>
        <v>261.52000000000004</v>
      </c>
    </row>
    <row r="158" spans="1:15" s="64" customFormat="1" ht="15.95" customHeight="1">
      <c r="A158" s="291">
        <f>+'4.muro de contencion'!A8</f>
        <v>1.1603999999999999</v>
      </c>
      <c r="B158" s="294" t="str">
        <f>+'4.muro de contencion'!B8</f>
        <v>MURO DE CONTENCION</v>
      </c>
      <c r="C158" s="40"/>
      <c r="D158" s="51"/>
      <c r="E158" s="52"/>
      <c r="F158" s="51"/>
      <c r="G158" s="51"/>
      <c r="H158" s="295"/>
      <c r="I158" s="296"/>
      <c r="J158" s="296"/>
      <c r="K158" s="296"/>
      <c r="L158" s="296"/>
      <c r="M158" s="296"/>
      <c r="N158" s="296"/>
      <c r="O158" s="54"/>
    </row>
    <row r="159" spans="1:15" s="64" customFormat="1" ht="15.95" customHeight="1">
      <c r="A159" s="292">
        <f>+'4.muro de contencion'!A28</f>
        <v>1.1604039999999995</v>
      </c>
      <c r="B159" s="75" t="str">
        <f>+'4.muro de contencion'!B28</f>
        <v>OBRAS DE CONCRETO ARMADO</v>
      </c>
      <c r="C159" s="41">
        <v>20.92</v>
      </c>
      <c r="D159" s="56"/>
      <c r="E159" s="57"/>
      <c r="F159" s="56"/>
      <c r="G159" s="56"/>
      <c r="H159" s="58"/>
      <c r="I159" s="59"/>
      <c r="J159" s="59"/>
      <c r="K159" s="59"/>
      <c r="L159" s="59"/>
      <c r="M159" s="59"/>
      <c r="N159" s="59"/>
      <c r="O159" s="60"/>
    </row>
    <row r="160" spans="1:15" s="64" customFormat="1" ht="15.95" customHeight="1">
      <c r="A160" s="292">
        <f>+'4.muro de contencion'!A33</f>
        <v>1.1604040299999994</v>
      </c>
      <c r="B160" s="169" t="str">
        <f>+'4.muro de contencion'!B33</f>
        <v>acero estruct. trabajado p/cimentacion</v>
      </c>
      <c r="C160" s="41"/>
      <c r="D160" s="56"/>
      <c r="E160" s="57"/>
      <c r="F160" s="56"/>
      <c r="G160" s="56"/>
      <c r="H160" s="58"/>
      <c r="I160" s="59"/>
      <c r="J160" s="59"/>
      <c r="K160" s="59"/>
      <c r="L160" s="59"/>
      <c r="M160" s="59"/>
      <c r="N160" s="59"/>
      <c r="O160" s="76">
        <f>SUM(O161:O162)</f>
        <v>951.6748</v>
      </c>
    </row>
    <row r="161" spans="1:15" ht="15.95" customHeight="1">
      <c r="A161" s="292"/>
      <c r="B161" s="172" t="s">
        <v>399</v>
      </c>
      <c r="C161" s="39"/>
      <c r="D161" s="56">
        <v>2</v>
      </c>
      <c r="E161" s="57">
        <v>0.625</v>
      </c>
      <c r="F161" s="56">
        <v>83</v>
      </c>
      <c r="G161" s="56">
        <v>2.2999999999999998</v>
      </c>
      <c r="H161" s="56">
        <f>+PRODUCT(D161,F161:G161)</f>
        <v>381.79999999999995</v>
      </c>
      <c r="I161" s="59">
        <f>+IF($D161&gt;0,IF(E161=I$7,D161*F161*G161,),)</f>
        <v>0</v>
      </c>
      <c r="J161" s="59">
        <f>+IF($D161&gt;0,IF(E161=J$7,D161*F161*G161,),)</f>
        <v>0</v>
      </c>
      <c r="K161" s="59">
        <f>+IF($D161&gt;0,IF(E161=K$7,D161*F161*G161,),)</f>
        <v>0</v>
      </c>
      <c r="L161" s="59">
        <f>+IF($D161&gt;0,IF(E161=L$7,D161*F161*G161,),)</f>
        <v>381.79999999999995</v>
      </c>
      <c r="M161" s="59">
        <f>+IF($D161&gt;0,IF(E161=M$7,D161*F161*G161,),)</f>
        <v>0</v>
      </c>
      <c r="N161" s="59">
        <f>+IF($D161&gt;0,IF(E161=N$7,D161*F161*G161,),)</f>
        <v>0</v>
      </c>
      <c r="O161" s="173">
        <f>+I161*I$8+J161*J$8+K161*K$8+L161*L$8+M161*M$8+N161*N$8</f>
        <v>591.79</v>
      </c>
    </row>
    <row r="162" spans="1:15" ht="15.95" customHeight="1">
      <c r="A162" s="292"/>
      <c r="B162" s="172" t="s">
        <v>385</v>
      </c>
      <c r="C162" s="39"/>
      <c r="D162" s="56">
        <v>2</v>
      </c>
      <c r="E162" s="57">
        <v>0.5</v>
      </c>
      <c r="F162" s="56">
        <v>8</v>
      </c>
      <c r="G162" s="56">
        <f>20.92+3*0.6</f>
        <v>22.720000000000002</v>
      </c>
      <c r="H162" s="56">
        <f>+PRODUCT(D162,F162:G162)</f>
        <v>363.52000000000004</v>
      </c>
      <c r="I162" s="59">
        <f>+IF($D162&gt;0,IF(E162=I$7,D162*F162*G162,),)</f>
        <v>0</v>
      </c>
      <c r="J162" s="59">
        <f>+IF($D162&gt;0,IF(E162=J$7,D162*F162*G162,),)</f>
        <v>0</v>
      </c>
      <c r="K162" s="59">
        <f>+IF($D162&gt;0,IF(E162=K$7,D162*F162*G162,),)</f>
        <v>363.52000000000004</v>
      </c>
      <c r="L162" s="59">
        <f>+IF($D162&gt;0,IF(E162=L$7,D162*F162*G162,),)</f>
        <v>0</v>
      </c>
      <c r="M162" s="59">
        <f>+IF($D162&gt;0,IF(E162=M$7,D162*F162*G162,),)</f>
        <v>0</v>
      </c>
      <c r="N162" s="59">
        <f>+IF($D162&gt;0,IF(E162=N$7,D162*F162*G162,),)</f>
        <v>0</v>
      </c>
      <c r="O162" s="173">
        <f>+I162*I$8+J162*J$8+K162*K$8+L162*L$8+M162*M$8+N162*N$8</f>
        <v>359.88480000000004</v>
      </c>
    </row>
    <row r="163" spans="1:15" s="64" customFormat="1" ht="15.95" customHeight="1">
      <c r="A163" s="292">
        <f>+'4.muro de contencion'!A41</f>
        <v>1.1604040599999992</v>
      </c>
      <c r="B163" s="170" t="str">
        <f>+'4.muro de contencion'!B41</f>
        <v xml:space="preserve">acero estruct. trabajado p/muro </v>
      </c>
      <c r="C163" s="41"/>
      <c r="D163" s="56"/>
      <c r="E163" s="57"/>
      <c r="F163" s="56"/>
      <c r="G163" s="56"/>
      <c r="H163" s="58"/>
      <c r="I163" s="59"/>
      <c r="J163" s="59"/>
      <c r="K163" s="59"/>
      <c r="L163" s="59"/>
      <c r="M163" s="59"/>
      <c r="N163" s="59"/>
      <c r="O163" s="76">
        <f>SUM(O164:O167)</f>
        <v>1501.6027000000001</v>
      </c>
    </row>
    <row r="164" spans="1:15" ht="15.95" customHeight="1">
      <c r="A164" s="292"/>
      <c r="B164" s="172" t="s">
        <v>362</v>
      </c>
      <c r="C164" s="39"/>
      <c r="D164" s="56">
        <v>1</v>
      </c>
      <c r="E164" s="57">
        <v>0.5</v>
      </c>
      <c r="F164" s="56">
        <v>83</v>
      </c>
      <c r="G164" s="56">
        <v>4.9800000000000004</v>
      </c>
      <c r="H164" s="56">
        <f>+PRODUCT(D164,F164:G164)</f>
        <v>413.34000000000003</v>
      </c>
      <c r="I164" s="59">
        <f>+IF($D164&gt;0,IF(E164=I$7,D164*F164*G164,),)</f>
        <v>0</v>
      </c>
      <c r="J164" s="59">
        <f>+IF($D164&gt;0,IF(E164=J$7,D164*F164*G164,),)</f>
        <v>0</v>
      </c>
      <c r="K164" s="59">
        <f>+IF($D164&gt;0,IF(E164=K$7,D164*F164*G164,),)</f>
        <v>413.34000000000003</v>
      </c>
      <c r="L164" s="59">
        <f>+IF($D164&gt;0,IF(E164=L$7,D164*F164*G164,),)</f>
        <v>0</v>
      </c>
      <c r="M164" s="59">
        <f>+IF($D164&gt;0,IF(E164=M$7,D164*F164*G164,),)</f>
        <v>0</v>
      </c>
      <c r="N164" s="59">
        <f>+IF($D164&gt;0,IF(E164=N$7,D164*F164*G164,),)</f>
        <v>0</v>
      </c>
      <c r="O164" s="173">
        <f>+I164*I$8+J164*J$8+K164*K$8+L164*L$8+M164*M$8+N164*N$8</f>
        <v>409.20660000000004</v>
      </c>
    </row>
    <row r="165" spans="1:15" ht="15.95" customHeight="1">
      <c r="A165" s="292"/>
      <c r="B165" s="172" t="s">
        <v>362</v>
      </c>
      <c r="C165" s="39"/>
      <c r="D165" s="56">
        <v>1</v>
      </c>
      <c r="E165" s="57">
        <v>0.5</v>
      </c>
      <c r="F165" s="56">
        <v>83</v>
      </c>
      <c r="G165" s="56">
        <v>4.97</v>
      </c>
      <c r="H165" s="56">
        <f>+PRODUCT(D165,F165:G165)</f>
        <v>412.51</v>
      </c>
      <c r="I165" s="59">
        <f>+IF($D165&gt;0,IF(E165=I$7,D165*F165*G165,),)</f>
        <v>0</v>
      </c>
      <c r="J165" s="59">
        <f>+IF($D165&gt;0,IF(E165=J$7,D165*F165*G165,),)</f>
        <v>0</v>
      </c>
      <c r="K165" s="59">
        <f>+IF($D165&gt;0,IF(E165=K$7,D165*F165*G165,),)</f>
        <v>412.51</v>
      </c>
      <c r="L165" s="59">
        <f>+IF($D165&gt;0,IF(E165=L$7,D165*F165*G165,),)</f>
        <v>0</v>
      </c>
      <c r="M165" s="59">
        <f>+IF($D165&gt;0,IF(E165=M$7,D165*F165*G165,),)</f>
        <v>0</v>
      </c>
      <c r="N165" s="59">
        <f>+IF($D165&gt;0,IF(E165=N$7,D165*F165*G165,),)</f>
        <v>0</v>
      </c>
      <c r="O165" s="173">
        <f>+I165*I$8+J165*J$8+K165*K$8+L165*L$8+M165*M$8+N165*N$8</f>
        <v>408.38489999999996</v>
      </c>
    </row>
    <row r="166" spans="1:15" s="64" customFormat="1" ht="15.95" customHeight="1">
      <c r="A166" s="292"/>
      <c r="B166" s="172" t="s">
        <v>385</v>
      </c>
      <c r="C166" s="39"/>
      <c r="D166" s="56">
        <v>1</v>
      </c>
      <c r="E166" s="57">
        <v>0.5</v>
      </c>
      <c r="F166" s="56">
        <v>82</v>
      </c>
      <c r="G166" s="56">
        <v>2</v>
      </c>
      <c r="H166" s="58">
        <f>+F166*G166*D166</f>
        <v>164</v>
      </c>
      <c r="I166" s="59">
        <f>+IF($D166&gt;0,IF(E166=I$7,D166*F166*G166,),)</f>
        <v>0</v>
      </c>
      <c r="J166" s="59">
        <f>+IF($D166&gt;0,IF(E166=J$7,D166*F166*G166,),)</f>
        <v>0</v>
      </c>
      <c r="K166" s="59">
        <f>+IF($D166&gt;0,IF(E166=K$7,D166*F166*G166,),)</f>
        <v>164</v>
      </c>
      <c r="L166" s="59">
        <f>+IF($D166&gt;0,IF(E166=L$7,D166*F166*G166,),)</f>
        <v>0</v>
      </c>
      <c r="M166" s="59">
        <f>+IF($D166&gt;0,IF(E166=M$7,D166*F166*G166,),)</f>
        <v>0</v>
      </c>
      <c r="N166" s="59">
        <f>+IF($D166&gt;0,IF(E166=N$7,D166*F166*G166,),)</f>
        <v>0</v>
      </c>
      <c r="O166" s="60">
        <f>+I166*I$8+J166*J$8+K166*K$8+L166*L$8+M166*M$8+N166*N$8</f>
        <v>162.35999999999999</v>
      </c>
    </row>
    <row r="167" spans="1:15" s="64" customFormat="1" ht="15.95" customHeight="1">
      <c r="A167" s="297"/>
      <c r="B167" s="298" t="s">
        <v>385</v>
      </c>
      <c r="C167" s="299"/>
      <c r="D167" s="300">
        <v>1</v>
      </c>
      <c r="E167" s="301">
        <v>0.375</v>
      </c>
      <c r="F167" s="300">
        <f>18+23</f>
        <v>41</v>
      </c>
      <c r="G167" s="300">
        <f>20.92+3*0.6</f>
        <v>22.720000000000002</v>
      </c>
      <c r="H167" s="302">
        <f>+F167*G167*D167</f>
        <v>931.5200000000001</v>
      </c>
      <c r="I167" s="303">
        <f>+IF($D167&gt;0,IF(E167=I$7,D167*F167*G167,),)</f>
        <v>0</v>
      </c>
      <c r="J167" s="303">
        <f>+IF($D167&gt;0,IF(E167=J$7,D167*F167*G167,),)</f>
        <v>931.5200000000001</v>
      </c>
      <c r="K167" s="303">
        <f>+IF($D167&gt;0,IF(E167=K$7,D167*F167*G167,),)</f>
        <v>0</v>
      </c>
      <c r="L167" s="303">
        <f>+IF($D167&gt;0,IF(E167=L$7,D167*F167*G167,),)</f>
        <v>0</v>
      </c>
      <c r="M167" s="303">
        <f>+IF($D167&gt;0,IF(E167=M$7,D167*F167*G167,),)</f>
        <v>0</v>
      </c>
      <c r="N167" s="303">
        <f>+IF($D167&gt;0,IF(E167=N$7,D167*F167*G167,),)</f>
        <v>0</v>
      </c>
      <c r="O167" s="304">
        <f>+I167*I$8+J167*J$8+K167*K$8+L167*L$8+M167*M$8+N167*N$8</f>
        <v>521.65120000000013</v>
      </c>
    </row>
    <row r="168" spans="1:15" s="61" customFormat="1" ht="15.95" customHeight="1">
      <c r="A168" s="347" t="s">
        <v>372</v>
      </c>
      <c r="B168" s="348"/>
      <c r="C168" s="348"/>
      <c r="D168" s="348"/>
      <c r="E168" s="348"/>
      <c r="F168" s="348"/>
      <c r="G168" s="348"/>
      <c r="H168" s="349"/>
      <c r="I168" s="77">
        <f t="shared" ref="I168:N168" si="63">+SUM(I158:I167)</f>
        <v>0</v>
      </c>
      <c r="J168" s="77">
        <f t="shared" si="63"/>
        <v>931.5200000000001</v>
      </c>
      <c r="K168" s="77">
        <f t="shared" si="63"/>
        <v>1353.3700000000001</v>
      </c>
      <c r="L168" s="77">
        <f t="shared" si="63"/>
        <v>381.79999999999995</v>
      </c>
      <c r="M168" s="77">
        <f t="shared" si="63"/>
        <v>0</v>
      </c>
      <c r="N168" s="77">
        <f t="shared" si="63"/>
        <v>0</v>
      </c>
      <c r="O168" s="293"/>
    </row>
    <row r="169" spans="1:15" s="61" customFormat="1" ht="15.95" customHeight="1">
      <c r="A169" s="347" t="s">
        <v>373</v>
      </c>
      <c r="B169" s="348"/>
      <c r="C169" s="348"/>
      <c r="D169" s="348"/>
      <c r="E169" s="348"/>
      <c r="F169" s="348"/>
      <c r="G169" s="348"/>
      <c r="H169" s="349"/>
      <c r="I169" s="77">
        <f t="shared" ref="I169:N169" si="64">+I8</f>
        <v>0.25</v>
      </c>
      <c r="J169" s="77">
        <f t="shared" si="64"/>
        <v>0.56000000000000005</v>
      </c>
      <c r="K169" s="77">
        <f t="shared" si="64"/>
        <v>0.99</v>
      </c>
      <c r="L169" s="77">
        <f t="shared" si="64"/>
        <v>1.55</v>
      </c>
      <c r="M169" s="77">
        <f t="shared" si="64"/>
        <v>2.2400000000000002</v>
      </c>
      <c r="N169" s="77">
        <f t="shared" si="64"/>
        <v>3.98</v>
      </c>
      <c r="O169" s="293"/>
    </row>
    <row r="170" spans="1:15" s="61" customFormat="1" ht="15.95" customHeight="1">
      <c r="A170" s="347" t="s">
        <v>374</v>
      </c>
      <c r="B170" s="348"/>
      <c r="C170" s="348"/>
      <c r="D170" s="348"/>
      <c r="E170" s="348"/>
      <c r="F170" s="348"/>
      <c r="G170" s="348"/>
      <c r="H170" s="349"/>
      <c r="I170" s="77">
        <f t="shared" ref="I170:N170" si="65">+I168*I169</f>
        <v>0</v>
      </c>
      <c r="J170" s="77">
        <f t="shared" si="65"/>
        <v>521.65120000000013</v>
      </c>
      <c r="K170" s="77">
        <f t="shared" si="65"/>
        <v>1339.8363000000002</v>
      </c>
      <c r="L170" s="77">
        <f t="shared" si="65"/>
        <v>591.79</v>
      </c>
      <c r="M170" s="77">
        <f t="shared" si="65"/>
        <v>0</v>
      </c>
      <c r="N170" s="77">
        <f t="shared" si="65"/>
        <v>0</v>
      </c>
      <c r="O170" s="293">
        <f>+SUM(I170:N170)</f>
        <v>2453.2775000000001</v>
      </c>
    </row>
  </sheetData>
  <mergeCells count="24">
    <mergeCell ref="A1:O1"/>
    <mergeCell ref="B2:O2"/>
    <mergeCell ref="H6:H8"/>
    <mergeCell ref="I6:N6"/>
    <mergeCell ref="O6:O8"/>
    <mergeCell ref="D6:D8"/>
    <mergeCell ref="A6:A8"/>
    <mergeCell ref="B6:B8"/>
    <mergeCell ref="A169:H169"/>
    <mergeCell ref="A168:H168"/>
    <mergeCell ref="A170:H170"/>
    <mergeCell ref="E6:E8"/>
    <mergeCell ref="F6:F8"/>
    <mergeCell ref="G6:G8"/>
    <mergeCell ref="C6:C8"/>
    <mergeCell ref="A42:H42"/>
    <mergeCell ref="A43:H43"/>
    <mergeCell ref="A157:H157"/>
    <mergeCell ref="A44:H44"/>
    <mergeCell ref="A139:H139"/>
    <mergeCell ref="A140:H140"/>
    <mergeCell ref="A141:H141"/>
    <mergeCell ref="A155:H155"/>
    <mergeCell ref="A156:H156"/>
  </mergeCells>
  <printOptions horizontalCentered="1" gridLines="1"/>
  <pageMargins left="0.59055118110236227" right="0.59055118110236227" top="0.98425196850393704" bottom="0.59055118110236227" header="0" footer="0"/>
  <pageSetup paperSize="9" scale="80" orientation="landscape" r:id="rId1"/>
  <headerFooter alignWithMargins="0"/>
  <rowBreaks count="1" manualBreakCount="1">
    <brk id="70" max="14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libre</dc:creator>
  <cp:keywords/>
  <dc:description/>
  <cp:lastModifiedBy>Brandon Gonzalez</cp:lastModifiedBy>
  <cp:revision/>
  <dcterms:created xsi:type="dcterms:W3CDTF">2014-10-15T23:18:59Z</dcterms:created>
  <dcterms:modified xsi:type="dcterms:W3CDTF">2024-08-01T21:34:00Z</dcterms:modified>
  <cp:category/>
  <cp:contentStatus/>
</cp:coreProperties>
</file>